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5\Монтаж СКС г. Шелехов\Закупочная документация\"/>
    </mc:Choice>
  </mc:AlternateContent>
  <bookViews>
    <workbookView xWindow="-120" yWindow="-120" windowWidth="24240" windowHeight="13140" firstSheet="1" activeTab="1"/>
  </bookViews>
  <sheets>
    <sheet name="Ведомость" sheetId="5" state="hidden" r:id="rId1"/>
    <sheet name="Ведомость (2)" sheetId="6" r:id="rId2"/>
    <sheet name="Лист1" sheetId="7" r:id="rId3"/>
  </sheets>
  <definedNames>
    <definedName name="_xlnm._FilterDatabase" localSheetId="0" hidden="1">Ведомость!$A$11:$M$418</definedName>
    <definedName name="_xlnm._FilterDatabase" localSheetId="1" hidden="1">'Ведомость (2)'!$A$12:$M$437</definedName>
    <definedName name="_xlnm.Print_Titles" localSheetId="0">Ведомость!$5:$7</definedName>
    <definedName name="_xlnm.Print_Titles" localSheetId="1">'Ведомость (2)'!$7:$8</definedName>
    <definedName name="_xlnm.Print_Area" localSheetId="1">'Ведомость (2)'!$A$3:$L$446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3" i="6" l="1"/>
  <c r="A130" i="6" l="1"/>
  <c r="K282" i="6" l="1"/>
  <c r="A437" i="6"/>
  <c r="A436" i="6"/>
  <c r="A435" i="6"/>
  <c r="A426" i="6"/>
  <c r="A423" i="6"/>
  <c r="A420" i="6"/>
  <c r="A417" i="6"/>
  <c r="A415" i="6"/>
  <c r="A414" i="6"/>
  <c r="A412" i="6"/>
  <c r="A411" i="6"/>
  <c r="A407" i="6"/>
  <c r="A406" i="6"/>
  <c r="A403" i="6"/>
  <c r="A400" i="6"/>
  <c r="A397" i="6"/>
  <c r="A395" i="6"/>
  <c r="A394" i="6"/>
  <c r="A393" i="6"/>
  <c r="A388" i="6"/>
  <c r="A387" i="6"/>
  <c r="A384" i="6"/>
  <c r="A383" i="6"/>
  <c r="A380" i="6"/>
  <c r="A377" i="6"/>
  <c r="A374" i="6"/>
  <c r="A372" i="6"/>
  <c r="A371" i="6"/>
  <c r="A370" i="6"/>
  <c r="A365" i="6"/>
  <c r="A364" i="6"/>
  <c r="A361" i="6"/>
  <c r="A360" i="6"/>
  <c r="A357" i="6"/>
  <c r="A354" i="6"/>
  <c r="A351" i="6"/>
  <c r="A349" i="6"/>
  <c r="A348" i="6"/>
  <c r="A347" i="6"/>
  <c r="A343" i="6"/>
  <c r="A342" i="6"/>
  <c r="A339" i="6"/>
  <c r="A338" i="6"/>
  <c r="A335" i="6"/>
  <c r="A332" i="6"/>
  <c r="A329" i="6"/>
  <c r="A327" i="6"/>
  <c r="A326" i="6"/>
  <c r="A325" i="6"/>
  <c r="A320" i="6"/>
  <c r="A319" i="6"/>
  <c r="A316" i="6"/>
  <c r="A315" i="6"/>
  <c r="A312" i="6"/>
  <c r="A309" i="6"/>
  <c r="A307" i="6"/>
  <c r="A306" i="6"/>
  <c r="A305" i="6"/>
  <c r="A301" i="6"/>
  <c r="A300" i="6"/>
  <c r="A297" i="6"/>
  <c r="A296" i="6"/>
  <c r="A293" i="6"/>
  <c r="A290" i="6"/>
  <c r="A287" i="6"/>
  <c r="A285" i="6"/>
  <c r="A284" i="6"/>
  <c r="A283" i="6"/>
  <c r="A279" i="6"/>
  <c r="A278" i="6"/>
  <c r="A275" i="6"/>
  <c r="A274" i="6"/>
  <c r="A271" i="6"/>
  <c r="A268" i="6"/>
  <c r="A265" i="6"/>
  <c r="A263" i="6"/>
  <c r="A262" i="6"/>
  <c r="A261" i="6"/>
  <c r="A257" i="6"/>
  <c r="A256" i="6"/>
  <c r="A253" i="6"/>
  <c r="A252" i="6"/>
  <c r="A249" i="6"/>
  <c r="A246" i="6"/>
  <c r="A244" i="6"/>
  <c r="A243" i="6"/>
  <c r="A240" i="6"/>
  <c r="A239" i="6"/>
  <c r="A236" i="6"/>
  <c r="A235" i="6"/>
  <c r="A232" i="6"/>
  <c r="A229" i="6"/>
  <c r="A226" i="6"/>
  <c r="A224" i="6"/>
  <c r="A223" i="6"/>
  <c r="A222" i="6"/>
  <c r="A220" i="6"/>
  <c r="A219" i="6"/>
  <c r="A216" i="6"/>
  <c r="A215" i="6"/>
  <c r="A212" i="6"/>
  <c r="A209" i="6"/>
  <c r="A206" i="6"/>
  <c r="A204" i="6"/>
  <c r="A203" i="6"/>
  <c r="A202" i="6"/>
  <c r="A198" i="6"/>
  <c r="A197" i="6"/>
  <c r="A194" i="6"/>
  <c r="A193" i="6"/>
  <c r="A190" i="6"/>
  <c r="A187" i="6"/>
  <c r="A185" i="6"/>
  <c r="A184" i="6"/>
  <c r="A183" i="6"/>
  <c r="A181" i="6"/>
  <c r="A180" i="6"/>
  <c r="A166" i="6"/>
  <c r="A163" i="6"/>
  <c r="A162" i="6"/>
  <c r="A159" i="6"/>
  <c r="A158" i="6"/>
  <c r="A155" i="6"/>
  <c r="A152" i="6"/>
  <c r="A149" i="6"/>
  <c r="A147" i="6"/>
  <c r="A146" i="6"/>
  <c r="A145" i="6"/>
  <c r="A141" i="6"/>
  <c r="A140" i="6"/>
  <c r="A129" i="6"/>
  <c r="A128" i="6"/>
  <c r="A125" i="6"/>
  <c r="A119" i="6"/>
  <c r="A118" i="6"/>
  <c r="A108" i="6"/>
  <c r="A107" i="6"/>
  <c r="A104" i="6"/>
  <c r="A101" i="6"/>
  <c r="A98" i="6"/>
  <c r="A96" i="6"/>
  <c r="A95" i="6"/>
  <c r="A94" i="6"/>
  <c r="A88" i="6"/>
  <c r="A87" i="6"/>
  <c r="A84" i="6"/>
  <c r="A81" i="6"/>
  <c r="A80" i="6"/>
  <c r="A77" i="6"/>
  <c r="A74" i="6"/>
  <c r="A72" i="6"/>
  <c r="A71" i="6"/>
  <c r="A70" i="6"/>
  <c r="A68" i="6"/>
  <c r="A67" i="6"/>
  <c r="A64" i="6"/>
  <c r="A61" i="6"/>
  <c r="A60" i="6"/>
  <c r="A57" i="6"/>
  <c r="A54" i="6"/>
  <c r="A52" i="6"/>
  <c r="A51" i="6"/>
  <c r="A50" i="6"/>
  <c r="A46" i="6"/>
  <c r="A45" i="6"/>
  <c r="A42" i="6"/>
  <c r="A39" i="6"/>
  <c r="A38" i="6"/>
  <c r="A35" i="6"/>
  <c r="A32" i="6"/>
  <c r="A30" i="6"/>
  <c r="A29" i="6"/>
  <c r="A28" i="6"/>
  <c r="A25" i="6"/>
  <c r="A24" i="6"/>
  <c r="A418" i="5" l="1"/>
  <c r="A417" i="5"/>
  <c r="A416" i="5"/>
  <c r="A415" i="5"/>
  <c r="A414" i="5"/>
  <c r="A410" i="5"/>
  <c r="A407" i="5"/>
  <c r="A405" i="5"/>
  <c r="A403" i="5"/>
  <c r="A401" i="5"/>
  <c r="A400" i="5"/>
  <c r="A398" i="5"/>
  <c r="A397" i="5"/>
  <c r="A393" i="5"/>
  <c r="A391" i="5"/>
  <c r="A390" i="5"/>
  <c r="A387" i="5"/>
  <c r="A385" i="5"/>
  <c r="A383" i="5"/>
  <c r="A381" i="5"/>
  <c r="A380" i="5"/>
  <c r="A379" i="5"/>
  <c r="A376" i="5"/>
  <c r="A375" i="5"/>
  <c r="A372" i="5"/>
  <c r="A370" i="5"/>
  <c r="A369" i="5"/>
  <c r="A366" i="5"/>
  <c r="A364" i="5"/>
  <c r="A362" i="5"/>
  <c r="A360" i="5"/>
  <c r="A359" i="5"/>
  <c r="A358" i="5"/>
  <c r="A356" i="5"/>
  <c r="A355" i="5"/>
  <c r="A352" i="5"/>
  <c r="A350" i="5"/>
  <c r="A349" i="5"/>
  <c r="A346" i="5"/>
  <c r="A344" i="5"/>
  <c r="A342" i="5"/>
  <c r="A340" i="5"/>
  <c r="A339" i="5"/>
  <c r="A338" i="5"/>
  <c r="A336" i="5"/>
  <c r="A335" i="5"/>
  <c r="A332" i="5"/>
  <c r="A330" i="5"/>
  <c r="A329" i="5"/>
  <c r="A326" i="5"/>
  <c r="A324" i="5"/>
  <c r="A322" i="5"/>
  <c r="A320" i="5"/>
  <c r="A319" i="5"/>
  <c r="A318" i="5"/>
  <c r="A316" i="5"/>
  <c r="A315" i="5"/>
  <c r="A312" i="5"/>
  <c r="A311" i="5"/>
  <c r="A309" i="5"/>
  <c r="A307" i="5"/>
  <c r="A305" i="5"/>
  <c r="A304" i="5"/>
  <c r="A303" i="5"/>
  <c r="A301" i="5"/>
  <c r="A300" i="5"/>
  <c r="A297" i="5"/>
  <c r="A295" i="5"/>
  <c r="A294" i="5"/>
  <c r="A291" i="5"/>
  <c r="A289" i="5"/>
  <c r="A287" i="5"/>
  <c r="A285" i="5"/>
  <c r="A284" i="5"/>
  <c r="A283" i="5"/>
  <c r="A279" i="5"/>
  <c r="A278" i="5"/>
  <c r="A275" i="5"/>
  <c r="A273" i="5"/>
  <c r="A272" i="5"/>
  <c r="A269" i="5"/>
  <c r="A267" i="5"/>
  <c r="A265" i="5"/>
  <c r="A263" i="5"/>
  <c r="A262" i="5"/>
  <c r="A261" i="5"/>
  <c r="A258" i="5"/>
  <c r="A257" i="5"/>
  <c r="A254" i="5"/>
  <c r="A252" i="5"/>
  <c r="A251" i="5"/>
  <c r="A248" i="5"/>
  <c r="A246" i="5"/>
  <c r="A244" i="5"/>
  <c r="A243" i="5"/>
  <c r="A241" i="5"/>
  <c r="A240" i="5"/>
  <c r="A237" i="5"/>
  <c r="A235" i="5"/>
  <c r="A234" i="5"/>
  <c r="A231" i="5"/>
  <c r="A229" i="5"/>
  <c r="A227" i="5"/>
  <c r="A225" i="5"/>
  <c r="A224" i="5"/>
  <c r="A223" i="5"/>
  <c r="A221" i="5"/>
  <c r="A220" i="5"/>
  <c r="A217" i="5"/>
  <c r="A215" i="5"/>
  <c r="A214" i="5"/>
  <c r="A211" i="5"/>
  <c r="A209" i="5"/>
  <c r="A207" i="5"/>
  <c r="A205" i="5"/>
  <c r="A204" i="5"/>
  <c r="A203" i="5"/>
  <c r="A201" i="5"/>
  <c r="A200" i="5"/>
  <c r="A197" i="5"/>
  <c r="A195" i="5"/>
  <c r="A194" i="5"/>
  <c r="A191" i="5"/>
  <c r="A189" i="5"/>
  <c r="A187" i="5"/>
  <c r="A186" i="5"/>
  <c r="A185" i="5"/>
  <c r="A183" i="5"/>
  <c r="A182" i="5"/>
  <c r="A167" i="5" l="1"/>
  <c r="A164" i="5"/>
  <c r="A163" i="5"/>
  <c r="A160" i="5"/>
  <c r="A159" i="5"/>
  <c r="A156" i="5"/>
  <c r="A154" i="5"/>
  <c r="A152" i="5"/>
  <c r="A150" i="5"/>
  <c r="A149" i="5"/>
  <c r="A148" i="5"/>
  <c r="A144" i="5"/>
  <c r="A143" i="5"/>
  <c r="A130" i="5"/>
  <c r="A128" i="5"/>
  <c r="A127" i="5"/>
  <c r="A124" i="5"/>
  <c r="A122" i="5"/>
  <c r="A118" i="5"/>
  <c r="A117" i="5"/>
  <c r="A114" i="5"/>
  <c r="A113" i="5"/>
  <c r="A110" i="5"/>
  <c r="A108" i="5"/>
  <c r="A106" i="5"/>
  <c r="A104" i="5"/>
  <c r="A102" i="5"/>
  <c r="A101" i="5"/>
  <c r="A100" i="5"/>
  <c r="A95" i="5"/>
  <c r="A94" i="5"/>
  <c r="A91" i="5"/>
  <c r="A88" i="5"/>
  <c r="A87" i="5"/>
  <c r="A85" i="5"/>
  <c r="A83" i="5"/>
  <c r="A81" i="5"/>
  <c r="A80" i="5"/>
  <c r="A79" i="5"/>
  <c r="A77" i="5"/>
  <c r="A76" i="5"/>
  <c r="A73" i="5"/>
  <c r="A71" i="5"/>
  <c r="A68" i="5"/>
  <c r="A67" i="5"/>
  <c r="A65" i="5"/>
  <c r="A63" i="5"/>
  <c r="A61" i="5"/>
  <c r="A60" i="5"/>
  <c r="A59" i="5"/>
  <c r="A56" i="5"/>
  <c r="A55" i="5"/>
  <c r="A52" i="5"/>
  <c r="A50" i="5"/>
  <c r="A47" i="5"/>
  <c r="A46" i="5"/>
  <c r="A44" i="5"/>
  <c r="A41" i="5"/>
  <c r="A39" i="5"/>
  <c r="A38" i="5"/>
  <c r="A37" i="5"/>
  <c r="A34" i="5"/>
  <c r="A33" i="5"/>
  <c r="J31" i="5" l="1"/>
  <c r="J30" i="5"/>
  <c r="J29" i="5"/>
  <c r="J28" i="5"/>
  <c r="J27" i="5"/>
  <c r="J26" i="5"/>
  <c r="J25" i="5"/>
  <c r="J24" i="5"/>
  <c r="J23" i="5"/>
</calcChain>
</file>

<file path=xl/comments1.xml><?xml version="1.0" encoding="utf-8"?>
<comments xmlns="http://schemas.openxmlformats.org/spreadsheetml/2006/main">
  <authors>
    <author>:</author>
  </authors>
  <commentList>
    <comment ref="K343" authorId="0" shapeId="0">
      <text>
        <r>
          <rPr>
            <b/>
            <sz val="9"/>
            <color indexed="81"/>
            <rFont val="Tahoma"/>
            <family val="2"/>
            <charset val="204"/>
          </rPr>
          <t>::</t>
        </r>
        <r>
          <rPr>
            <sz val="9"/>
            <color indexed="81"/>
            <rFont val="Tahoma"/>
            <family val="2"/>
            <charset val="204"/>
          </rPr>
          <t xml:space="preserve">
Пересчитать кабель в к.канале</t>
        </r>
      </text>
    </comment>
  </commentList>
</comments>
</file>

<file path=xl/sharedStrings.xml><?xml version="1.0" encoding="utf-8"?>
<sst xmlns="http://schemas.openxmlformats.org/spreadsheetml/2006/main" count="3146" uniqueCount="163">
  <si>
    <t>м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</si>
  <si>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</si>
  <si>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</si>
  <si>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</si>
  <si>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</si>
  <si>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</si>
  <si>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Наименование</t>
  </si>
  <si>
    <t>Ед. изм.</t>
  </si>
  <si>
    <t>Поставщик</t>
  </si>
  <si>
    <t>Ведомость объемов работ</t>
  </si>
  <si>
    <t>Тестирование линии</t>
  </si>
  <si>
    <t>отчет</t>
  </si>
  <si>
    <t>Монтаж лотка перфорированного</t>
  </si>
  <si>
    <t>УТВЕРЖДАЮ:</t>
  </si>
  <si>
    <t>Главный инженер ООО "Иркутскэнергосбыт"</t>
  </si>
  <si>
    <t>____________________О.Н. Герасименко</t>
  </si>
  <si>
    <t>на монтаж СКС в  помещениях Шелеховского отделения ООО "Иркутскэнергосбыт"</t>
  </si>
  <si>
    <t>№ п/п</t>
  </si>
  <si>
    <t>Использование</t>
  </si>
  <si>
    <t>шт</t>
  </si>
  <si>
    <t>Подрядчик</t>
  </si>
  <si>
    <t>Прокладка кабеля UTP в к.каналах</t>
  </si>
  <si>
    <t>Кабель внутренней прокладки UTP   4 пары,Essential Nexans,Категория 5е</t>
  </si>
  <si>
    <t>Прокладка кабеля UTP на провододержателях</t>
  </si>
  <si>
    <t>Монтаж информационных розеток с разделкой кабеля
(двухмодульные) открытой проводки</t>
  </si>
  <si>
    <t>Кабель ВВГнг 3*2,5мм2</t>
  </si>
  <si>
    <t>Лоток проволочный 50*100*3000*3,8</t>
  </si>
  <si>
    <t>Болт анкерный 10*125мм</t>
  </si>
  <si>
    <t>Шпилька резьбовая стальная оцинкованная М10х2000</t>
  </si>
  <si>
    <t>шайба м10 увеличенная</t>
  </si>
  <si>
    <t>Гайка соеденительная М10</t>
  </si>
  <si>
    <t>Гайка стальная М10</t>
  </si>
  <si>
    <t>Фиксаторная прощадка EKF</t>
  </si>
  <si>
    <t>шт/кг</t>
  </si>
  <si>
    <t>Винтовой соеденительный комплект 6х20 (винт М6+гайка) типа EKF</t>
  </si>
  <si>
    <t>Шайба М10 гровер</t>
  </si>
  <si>
    <t xml:space="preserve">Кроссировка концов кабеля UTP в коммутационном шкафу на патч-панели, маркировка розеток на рабочих местах и портов на патч-панелях </t>
  </si>
  <si>
    <t>Протокол тестирования линков</t>
  </si>
  <si>
    <t>Примечания:</t>
  </si>
  <si>
    <t>1.</t>
  </si>
  <si>
    <t xml:space="preserve">Подрядчиком должна быть обеспечена доставка строительного мусора на полигон твердых бытовых отходах. </t>
  </si>
  <si>
    <t>2.</t>
  </si>
  <si>
    <t>Плата за негативное воздействие на окружающую среду является обязанностью Подрядчика.</t>
  </si>
  <si>
    <t>Начальник Шелеховского отделения:</t>
  </si>
  <si>
    <t>Т.В. Левандовская</t>
  </si>
  <si>
    <t>Начальник ОКС и КР :</t>
  </si>
  <si>
    <t>Е.Л. Баженов</t>
  </si>
  <si>
    <t>Корридор 3 этаж</t>
  </si>
  <si>
    <t>Пробивка отверстий диаметром 20 мм в стенах из кирпича</t>
  </si>
  <si>
    <r>
      <t>Помещение №2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РМ40,П16</t>
    </r>
    <r>
      <rPr>
        <sz val="12"/>
        <rFont val="Times New Roman"/>
        <family val="1"/>
        <charset val="204"/>
      </rPr>
      <t>)</t>
    </r>
  </si>
  <si>
    <t>Монтаж кабель канала 75*20</t>
  </si>
  <si>
    <t>Кабельные каналы 75х20 мм</t>
  </si>
  <si>
    <t>Комплект механизма двойной информационной розетки 2xRJ-45 (Рамка + два модуля Keystone UTP, кат. 5e), цвет белый, 45х45 для серии Mosaic, пр-во Datarex</t>
  </si>
  <si>
    <t>Рамка Mosaic 45x45 в профиль 75 x 20, пр-во Legrand</t>
  </si>
  <si>
    <t>Комплект механизма одинарной информационной розетки 1xRJ-45 (Рамка + модуль Keystone UTP, кат. 5e), цвет белый, 45х45 для серии Mosaic, пр-во Datarex</t>
  </si>
  <si>
    <t>Монтаж информационных розеток с разделкой кабеля
(одномодульные) открытой проводки</t>
  </si>
  <si>
    <t>Угол плоский переменный 75х20мм, пр-во SPL (Саянский пластик)</t>
  </si>
  <si>
    <t>Заглушка торцевая 75 х 20, пр-во Legrand</t>
  </si>
  <si>
    <r>
      <t>Прокладка кабеля ВВГ 3*2,5мм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к.каналах</t>
    </r>
  </si>
  <si>
    <r>
      <t>Прокладка кабеля ВВГ 3*2,5мм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на провододержателях</t>
    </r>
  </si>
  <si>
    <r>
      <t>Прокладка кабеля ВВГ 3*2,5мм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в перфорированных лотках</t>
    </r>
  </si>
  <si>
    <t>Монтаж силовых розеток  в к.канале</t>
  </si>
  <si>
    <t>Суппорт с рамкой (45х45),модульный для к/к 75х20</t>
  </si>
  <si>
    <t xml:space="preserve">Механизм электрической розетки 2К+З, </t>
  </si>
  <si>
    <t>Ответвление Т-образное 75х20мм, пр-во SPL</t>
  </si>
  <si>
    <t>Помещение №3(РМ35,РМ36,РМ37,РМ38,РМ39,П15)</t>
  </si>
  <si>
    <t>Труба гофрированная  Ø 20 мм</t>
  </si>
  <si>
    <t>Помещение №4(РМ33,РМ34,П14)</t>
  </si>
  <si>
    <t>Помещение №5(РМ32,РМ31,П13)</t>
  </si>
  <si>
    <t>Установка распределительных коробок</t>
  </si>
  <si>
    <t>Коробка распределительная 100х100х50 мм</t>
  </si>
  <si>
    <t>Угол внутренний переменный 75 х 20</t>
  </si>
  <si>
    <t>Угол внешний переменный 75 х 20</t>
  </si>
  <si>
    <t>Помещение №6(Серверная)</t>
  </si>
  <si>
    <t>Помещение №7(РМ30,П12)</t>
  </si>
  <si>
    <t>Помещение №8(РМ29,П10,П11)</t>
  </si>
  <si>
    <t>Помещение №9(РМ28)</t>
  </si>
  <si>
    <t>Помещение №10(РМ26,РМ27,П9)</t>
  </si>
  <si>
    <t>Помещение №11(РМ25,П8)</t>
  </si>
  <si>
    <t>Помещение №14(РМ24)</t>
  </si>
  <si>
    <t>Помещение №19(РМ21,П1)</t>
  </si>
  <si>
    <t>Помещение №20(РМ2,РМ3,РМ4,РМ5,РМ6,РМ7,П2)</t>
  </si>
  <si>
    <t>Помещение №21(РМ8,П3)</t>
  </si>
  <si>
    <t>Помещение №22(РМ9,РМ10,РМ11,П4)</t>
  </si>
  <si>
    <t>Помещение №23(РМ12,РМ13,РМ14,РМ15,П5)</t>
  </si>
  <si>
    <t>Помещение №24(РМ16,РМ17,РМ18,РМ19,П6)</t>
  </si>
  <si>
    <t>Помещение №25(РМ20,РМ21,РМ22,РМ23,П7)</t>
  </si>
  <si>
    <t>"____" ___________2025 г.</t>
  </si>
  <si>
    <t>Проведение комплекса приемосдаточных испытаний смонтированного оборудования в т.ч. 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электропотребителям.</t>
  </si>
  <si>
    <t>Очистка помещений от строительного мусора с затариванием в мешки</t>
  </si>
  <si>
    <t>1</t>
  </si>
  <si>
    <t>Демонтаж коммутационного шкафа</t>
  </si>
  <si>
    <t>Патч панель на 24 порта</t>
  </si>
  <si>
    <t>Организатор горизонтальный 19" 1U черный с пластиковыми кольцами и крышкой,пр-во PCNet</t>
  </si>
  <si>
    <t xml:space="preserve">Патч-корд UTP,Категория 5е,1 метр серый </t>
  </si>
  <si>
    <t xml:space="preserve">Маршрутизатор Cisco 921 </t>
  </si>
  <si>
    <t>Коммутатор Cisco 3550-23</t>
  </si>
  <si>
    <t>Комплект монтажный № 2 (винт,шайба,гайка с защелкой) для крепления 19" оборудования (уп. 50 шт.),пр-во ЦМО</t>
  </si>
  <si>
    <t>Блок силовых розеток 19",1U,шнур 1,8м,с выключателем,8 розеток Schuko,16А</t>
  </si>
  <si>
    <t>Шкаф настенный/напольный</t>
  </si>
  <si>
    <t>Монтаж коммутационных шкафов в серверной</t>
  </si>
  <si>
    <t>Серверная( г.Шелехов, 3 квартал, дом 14    )</t>
  </si>
  <si>
    <t>Кросс-панель в 19"</t>
  </si>
  <si>
    <t>по адресу: г. Шелехов, проспект Строителей и монтажников, здание 15А</t>
  </si>
  <si>
    <t>Помещение №10(Конференц зал)</t>
  </si>
  <si>
    <t>Заказчик</t>
  </si>
  <si>
    <t>демонтировать после перееезда и передать Заказчику</t>
  </si>
  <si>
    <t xml:space="preserve"> </t>
  </si>
  <si>
    <t>Повторное использование</t>
  </si>
  <si>
    <t>Шкаф напольный</t>
  </si>
  <si>
    <t>На складе.</t>
  </si>
  <si>
    <t>Монтаж перфорированного лотка по стене (спуск к шкафу).</t>
  </si>
  <si>
    <t>Пробивка отверстия в ЖБ перекрытии</t>
  </si>
  <si>
    <t xml:space="preserve">Снятие и установка потолочной плиты  подвесного потолка "Армстронг" </t>
  </si>
  <si>
    <t>Стяжка пластиковая 2,5*150</t>
  </si>
  <si>
    <t>уп</t>
  </si>
  <si>
    <t>Угол плоский 75х20 мм</t>
  </si>
  <si>
    <t>Соеденитель 75х20 мм</t>
  </si>
  <si>
    <t>Угол внутренний 75х20 мм</t>
  </si>
  <si>
    <t>Соеденитель  75х20 мм</t>
  </si>
  <si>
    <t>Угол плоский 75х20мм</t>
  </si>
  <si>
    <t>Угол внутренний 75х20мм</t>
  </si>
  <si>
    <t>Соеденитель  75 х 20</t>
  </si>
  <si>
    <t>Угол плоский  75х20 мм</t>
  </si>
  <si>
    <t>Модуль информационный RJ45, UTP, категория 6, Dual IDC, заделка 90°, белый, тип Keystone, пр-во Datarex</t>
  </si>
  <si>
    <t>Рамка для модулей RJ-45 или 12 типа Keystone, прямая, 45х45, пр-во Datarex</t>
  </si>
  <si>
    <t>Рамка для 2-х модулей RJ-45 или 12 типа Keystone, прямая, 45х45, пр-во Datarex</t>
  </si>
  <si>
    <t>Суппорт на 1 пост 45х45 накладной 75х20мм, пр-во SPL (Саянский пластик)</t>
  </si>
  <si>
    <t>Модуль информационный RJ45, UTP, категория 5e, Dual IDC, заделка 90°, белый, тип Keystone, пр-во Datarex</t>
  </si>
  <si>
    <t>Устройство системы управления доступом с автоматическим запирающим устройством</t>
  </si>
  <si>
    <t xml:space="preserve">Замок электромагнитный в комплекте                                                                                                                                      </t>
  </si>
  <si>
    <t xml:space="preserve">Кнопка Выход                                                                                             </t>
  </si>
  <si>
    <t xml:space="preserve">Контроллер доступа типа Z-5R в корпусе                                                                                          </t>
  </si>
  <si>
    <t>Доводчик дверной</t>
  </si>
  <si>
    <t xml:space="preserve">Считыватель карт универсальный                                        </t>
  </si>
  <si>
    <t>Бесконтактная карта типа AccordTec AT-ID02-EM</t>
  </si>
  <si>
    <t>AccordTec AT-ID02-EM: бесконтактная карта доступа EM-Marin (dssl.ru)</t>
  </si>
  <si>
    <t>Розетка 2К+З, 16 А, винтовые клеммы, белый, серия Blanca настенного монтажа, пр-во Schneider Electric</t>
  </si>
  <si>
    <t>Угол внешний переменный 75х20мм, пр-во SPL (Саянский пластик)</t>
  </si>
  <si>
    <t>Монтаж силовых розеток  открытой проводки</t>
  </si>
  <si>
    <r>
      <t>Помещение №2</t>
    </r>
    <r>
      <rPr>
        <sz val="14"/>
        <rFont val="Times New Roman"/>
        <family val="1"/>
        <charset val="204"/>
      </rPr>
      <t>(РМ40,П16)</t>
    </r>
  </si>
  <si>
    <r>
      <t>Прокладка кабеля ВВГ 3*2,5мм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к.каналах</t>
    </r>
  </si>
  <si>
    <r>
      <t>Прокладка кабеля ВВГ 3*2,5мм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на провододержателях</t>
    </r>
  </si>
  <si>
    <r>
      <t>Прокладка кабеля ВВГ 3*2,5мм</t>
    </r>
    <r>
      <rPr>
        <vertAlign val="superscript"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 xml:space="preserve"> в гофре</t>
    </r>
  </si>
  <si>
    <t>Лоток проволочный 50*100*1000*3,8</t>
  </si>
  <si>
    <r>
      <t>Прокладка кабеля ВВГ 3*2,5мм</t>
    </r>
    <r>
      <rPr>
        <vertAlign val="superscript"/>
        <sz val="14"/>
        <rFont val="Times New Roman"/>
        <family val="1"/>
        <charset val="204"/>
      </rPr>
      <t>2 в гофре</t>
    </r>
  </si>
  <si>
    <t>Прокладка кабеля ВВГ 3*2,5мм2 в гофре</t>
  </si>
  <si>
    <t>Пробивка отверстия в ЖБ перекрытии Ду30 толш. 420</t>
  </si>
  <si>
    <t>Пробивка отверстий диаметром 20 мм в стенах из кирпича 300 мм</t>
  </si>
  <si>
    <t>Монтаж коммутационного шкафа в серверной</t>
  </si>
  <si>
    <t>Стяжка пластиковая 2,5*150 10 шт.</t>
  </si>
  <si>
    <t>Стяжка пластиковая 2,5*150 (1 уп.10 шт.)</t>
  </si>
  <si>
    <t>Стяжка пластиковая 2,5*150 уп-10 шт.</t>
  </si>
  <si>
    <t>Монтаж кабель канала</t>
  </si>
  <si>
    <t>Монтаж кабеля в кабель канале</t>
  </si>
  <si>
    <t>Кабель  КСПВ 8*0,5</t>
  </si>
  <si>
    <t>Кабель  ШВВП 2*0,75</t>
  </si>
  <si>
    <t>Блок бесперебойного питания+ АКБ 12/ 7 АБ 1207К</t>
  </si>
  <si>
    <t>Пластиковый кабель-канал 25х16</t>
  </si>
  <si>
    <t>Приложение №1 к Техническим условиям</t>
  </si>
  <si>
    <t>СОГЛАСОВАНО:</t>
  </si>
  <si>
    <t>Директор ООО "………..."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</si>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</sst>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B050"/>
      <name val="Arial Cyr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ont="0" applyAlignment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458">
    <xf numFmtId="0" fontId="0" fillId="0" borderId="0" xfId="0"/>
    <xf numFmtId="0" fontId="2" fillId="0" borderId="0" xfId="2"/>
    <xf numFmtId="0" fontId="3" fillId="0" borderId="0" xfId="2" applyFont="1"/>
    <xf numFmtId="0" fontId="3" fillId="0" borderId="0" xfId="2" applyFont="1" applyFill="1"/>
    <xf numFmtId="49" fontId="3" fillId="0" borderId="5" xfId="2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4" fontId="5" fillId="0" borderId="0" xfId="4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" fontId="3" fillId="2" borderId="2" xfId="4" applyNumberFormat="1" applyFont="1" applyFill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4" fontId="3" fillId="0" borderId="2" xfId="4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9" fontId="3" fillId="0" borderId="1" xfId="2" applyNumberFormat="1" applyFont="1" applyBorder="1" applyAlignment="1">
      <alignment horizontal="left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left" vertical="center" wrapText="1"/>
    </xf>
    <xf numFmtId="49" fontId="3" fillId="0" borderId="5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49" fontId="3" fillId="3" borderId="1" xfId="2" applyNumberFormat="1" applyFont="1" applyFill="1" applyBorder="1" applyAlignment="1">
      <alignment horizontal="left" vertical="center" wrapText="1"/>
    </xf>
    <xf numFmtId="0" fontId="3" fillId="3" borderId="1" xfId="2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6" xfId="0" applyBorder="1"/>
    <xf numFmtId="0" fontId="4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/>
    </xf>
    <xf numFmtId="3" fontId="13" fillId="0" borderId="1" xfId="4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wrapText="1"/>
    </xf>
    <xf numFmtId="0" fontId="3" fillId="0" borderId="4" xfId="2" applyFont="1" applyBorder="1" applyAlignment="1">
      <alignment vertical="center" wrapText="1"/>
    </xf>
    <xf numFmtId="2" fontId="3" fillId="3" borderId="4" xfId="0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2" fontId="3" fillId="3" borderId="5" xfId="0" applyNumberFormat="1" applyFont="1" applyFill="1" applyBorder="1" applyAlignment="1">
      <alignment vertical="center" wrapText="1"/>
    </xf>
    <xf numFmtId="0" fontId="9" fillId="4" borderId="1" xfId="0" applyFont="1" applyFill="1" applyBorder="1"/>
    <xf numFmtId="4" fontId="3" fillId="0" borderId="5" xfId="4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0" fontId="3" fillId="0" borderId="2" xfId="2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9" fillId="4" borderId="2" xfId="0" applyFont="1" applyFill="1" applyBorder="1"/>
    <xf numFmtId="0" fontId="11" fillId="0" borderId="0" xfId="0" applyFont="1" applyAlignment="1">
      <alignment vertical="top"/>
    </xf>
    <xf numFmtId="49" fontId="3" fillId="0" borderId="5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4" applyNumberFormat="1" applyFont="1" applyBorder="1" applyAlignment="1">
      <alignment horizontal="center" vertical="center"/>
    </xf>
    <xf numFmtId="43" fontId="3" fillId="0" borderId="1" xfId="4" applyFont="1" applyFill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 wrapText="1"/>
    </xf>
    <xf numFmtId="43" fontId="3" fillId="0" borderId="1" xfId="4" applyFont="1" applyFill="1" applyBorder="1" applyAlignment="1">
      <alignment horizontal="center" vertical="center"/>
    </xf>
    <xf numFmtId="43" fontId="0" fillId="0" borderId="0" xfId="4" applyFont="1" applyFill="1" applyAlignment="1">
      <alignment horizontal="center"/>
    </xf>
    <xf numFmtId="43" fontId="0" fillId="0" borderId="0" xfId="4" applyFont="1" applyAlignment="1">
      <alignment horizontal="center"/>
    </xf>
    <xf numFmtId="43" fontId="4" fillId="0" borderId="0" xfId="4" applyFont="1" applyAlignment="1">
      <alignment horizontal="center"/>
    </xf>
    <xf numFmtId="49" fontId="12" fillId="2" borderId="2" xfId="0" applyNumberFormat="1" applyFont="1" applyFill="1" applyBorder="1" applyAlignment="1">
      <alignment horizontal="left" vertical="center" wrapText="1"/>
    </xf>
    <xf numFmtId="43" fontId="3" fillId="2" borderId="2" xfId="4" applyFont="1" applyFill="1" applyBorder="1" applyAlignment="1">
      <alignment horizontal="center" vertical="center" wrapText="1"/>
    </xf>
    <xf numFmtId="0" fontId="8" fillId="0" borderId="0" xfId="2" applyFont="1" applyFill="1"/>
    <xf numFmtId="49" fontId="3" fillId="0" borderId="4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/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5" xfId="2" applyNumberFormat="1" applyFont="1" applyBorder="1" applyAlignment="1">
      <alignment horizontal="center" vertical="center"/>
    </xf>
    <xf numFmtId="0" fontId="3" fillId="0" borderId="4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center" wrapText="1"/>
    </xf>
    <xf numFmtId="0" fontId="15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center"/>
    </xf>
    <xf numFmtId="49" fontId="3" fillId="0" borderId="2" xfId="2" applyNumberFormat="1" applyFont="1" applyBorder="1" applyAlignment="1">
      <alignment vertical="center" wrapText="1"/>
    </xf>
    <xf numFmtId="0" fontId="3" fillId="0" borderId="1" xfId="2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3" fontId="3" fillId="0" borderId="2" xfId="4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3" fontId="3" fillId="0" borderId="2" xfId="4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49" fontId="3" fillId="0" borderId="1" xfId="2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49" fontId="3" fillId="0" borderId="1" xfId="2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" fontId="3" fillId="0" borderId="2" xfId="4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2" fillId="0" borderId="0" xfId="2" applyFill="1"/>
    <xf numFmtId="0" fontId="19" fillId="0" borderId="0" xfId="0" applyFont="1" applyAlignment="1">
      <alignment vertical="center" wrapText="1"/>
    </xf>
    <xf numFmtId="0" fontId="20" fillId="0" borderId="0" xfId="5"/>
    <xf numFmtId="49" fontId="5" fillId="0" borderId="0" xfId="0" applyNumberFormat="1" applyFont="1" applyAlignment="1">
      <alignment horizontal="center" vertical="center" wrapText="1"/>
    </xf>
    <xf numFmtId="0" fontId="2" fillId="0" borderId="0" xfId="2" applyFont="1"/>
    <xf numFmtId="0" fontId="22" fillId="0" borderId="0" xfId="0" applyFont="1"/>
    <xf numFmtId="0" fontId="21" fillId="0" borderId="0" xfId="0" applyNumberFormat="1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3" fontId="5" fillId="2" borderId="2" xfId="4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4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3" fontId="5" fillId="0" borderId="2" xfId="4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4" applyFont="1" applyFill="1" applyBorder="1" applyAlignment="1">
      <alignment horizontal="center" vertical="center"/>
    </xf>
    <xf numFmtId="43" fontId="5" fillId="0" borderId="1" xfId="4" applyFont="1" applyFill="1" applyBorder="1" applyAlignment="1">
      <alignment horizontal="center" vertical="center" wrapText="1"/>
    </xf>
    <xf numFmtId="4" fontId="5" fillId="2" borderId="2" xfId="4" applyNumberFormat="1" applyFont="1" applyFill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49" fontId="5" fillId="0" borderId="1" xfId="2" applyNumberFormat="1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wrapText="1"/>
    </xf>
    <xf numFmtId="0" fontId="5" fillId="0" borderId="5" xfId="2" applyFont="1" applyBorder="1" applyAlignment="1">
      <alignment horizontal="left" vertical="center" wrapText="1"/>
    </xf>
    <xf numFmtId="49" fontId="5" fillId="0" borderId="5" xfId="2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 wrapText="1"/>
    </xf>
    <xf numFmtId="49" fontId="5" fillId="0" borderId="4" xfId="2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4" fontId="5" fillId="0" borderId="2" xfId="4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5" xfId="2" applyFont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wrapText="1"/>
    </xf>
    <xf numFmtId="2" fontId="5" fillId="3" borderId="5" xfId="0" applyNumberFormat="1" applyFont="1" applyFill="1" applyBorder="1" applyAlignment="1">
      <alignment vertical="center" wrapText="1"/>
    </xf>
    <xf numFmtId="0" fontId="5" fillId="0" borderId="2" xfId="2" applyFont="1" applyBorder="1" applyAlignment="1">
      <alignment horizontal="left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25" fillId="0" borderId="1" xfId="0" applyFont="1" applyBorder="1"/>
    <xf numFmtId="0" fontId="25" fillId="0" borderId="0" xfId="0" applyFont="1"/>
    <xf numFmtId="49" fontId="5" fillId="0" borderId="5" xfId="2" applyNumberFormat="1" applyFont="1" applyFill="1" applyBorder="1" applyAlignment="1">
      <alignment horizontal="center" vertical="center" wrapText="1"/>
    </xf>
    <xf numFmtId="4" fontId="5" fillId="0" borderId="5" xfId="4" applyNumberFormat="1" applyFont="1" applyFill="1" applyBorder="1" applyAlignment="1">
      <alignment horizontal="center" vertical="center"/>
    </xf>
    <xf numFmtId="0" fontId="5" fillId="0" borderId="4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wrapText="1"/>
    </xf>
    <xf numFmtId="0" fontId="5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0" fontId="10" fillId="4" borderId="2" xfId="0" applyFont="1" applyFill="1" applyBorder="1"/>
    <xf numFmtId="0" fontId="5" fillId="0" borderId="5" xfId="2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horizontal="center" vertical="center" wrapText="1"/>
    </xf>
    <xf numFmtId="4" fontId="5" fillId="2" borderId="5" xfId="4" applyNumberFormat="1" applyFont="1" applyFill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/>
    </xf>
    <xf numFmtId="3" fontId="5" fillId="0" borderId="1" xfId="4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vertical="center" wrapText="1"/>
    </xf>
    <xf numFmtId="0" fontId="5" fillId="0" borderId="2" xfId="2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27" fillId="0" borderId="1" xfId="2" applyNumberFormat="1" applyFont="1" applyBorder="1" applyAlignment="1">
      <alignment horizontal="center" vertical="center" wrapText="1"/>
    </xf>
    <xf numFmtId="4" fontId="27" fillId="0" borderId="1" xfId="4" applyNumberFormat="1" applyFont="1" applyFill="1" applyBorder="1" applyAlignment="1">
      <alignment horizontal="center" vertical="center"/>
    </xf>
    <xf numFmtId="49" fontId="27" fillId="0" borderId="1" xfId="2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4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4" fontId="25" fillId="0" borderId="1" xfId="4" applyNumberFormat="1" applyFont="1" applyBorder="1" applyAlignment="1">
      <alignment horizontal="center" vertical="center"/>
    </xf>
    <xf numFmtId="0" fontId="27" fillId="0" borderId="1" xfId="2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43" fontId="27" fillId="0" borderId="1" xfId="4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4" fontId="25" fillId="0" borderId="0" xfId="4" applyNumberFormat="1" applyFont="1" applyAlignment="1">
      <alignment horizontal="center" vertical="center"/>
    </xf>
    <xf numFmtId="0" fontId="25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43" fontId="25" fillId="0" borderId="0" xfId="4" applyFont="1" applyFill="1" applyAlignment="1">
      <alignment horizontal="center"/>
    </xf>
    <xf numFmtId="0" fontId="5" fillId="0" borderId="0" xfId="0" applyFont="1" applyAlignment="1">
      <alignment horizontal="left"/>
    </xf>
    <xf numFmtId="43" fontId="25" fillId="0" borderId="0" xfId="4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25" fillId="0" borderId="6" xfId="0" applyFont="1" applyBorder="1"/>
    <xf numFmtId="0" fontId="5" fillId="0" borderId="0" xfId="0" applyFont="1" applyAlignment="1">
      <alignment horizontal="center"/>
    </xf>
    <xf numFmtId="43" fontId="5" fillId="0" borderId="0" xfId="4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8" fillId="0" borderId="1" xfId="0" applyFont="1" applyBorder="1"/>
    <xf numFmtId="0" fontId="28" fillId="0" borderId="1" xfId="0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/>
    <xf numFmtId="49" fontId="5" fillId="2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1" xfId="2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" fontId="5" fillId="0" borderId="4" xfId="4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2" applyFont="1" applyBorder="1"/>
    <xf numFmtId="0" fontId="11" fillId="0" borderId="0" xfId="0" applyFont="1" applyAlignment="1">
      <alignment horizontal="center" vertical="top"/>
    </xf>
    <xf numFmtId="0" fontId="5" fillId="0" borderId="2" xfId="2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/>
    <xf numFmtId="0" fontId="3" fillId="0" borderId="1" xfId="2" applyFont="1" applyBorder="1" applyAlignment="1">
      <alignment horizontal="left" vertical="center" wrapText="1"/>
    </xf>
    <xf numFmtId="0" fontId="3" fillId="0" borderId="1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4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4" xfId="2" applyNumberFormat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2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4" xfId="2" applyNumberFormat="1" applyFont="1" applyBorder="1" applyAlignment="1">
      <alignment horizontal="center" vertical="center" wrapText="1"/>
    </xf>
    <xf numFmtId="0" fontId="3" fillId="0" borderId="5" xfId="2" applyNumberFormat="1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left" vertical="center"/>
    </xf>
    <xf numFmtId="49" fontId="3" fillId="0" borderId="5" xfId="2" applyNumberFormat="1" applyFont="1" applyBorder="1" applyAlignment="1">
      <alignment horizontal="left" vertical="center"/>
    </xf>
    <xf numFmtId="49" fontId="3" fillId="0" borderId="2" xfId="2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5" fillId="0" borderId="4" xfId="2" applyNumberFormat="1" applyFont="1" applyBorder="1" applyAlignment="1">
      <alignment horizontal="center" vertical="center"/>
    </xf>
    <xf numFmtId="0" fontId="5" fillId="0" borderId="5" xfId="2" applyNumberFormat="1" applyFont="1" applyBorder="1" applyAlignment="1">
      <alignment horizontal="center" vertical="center"/>
    </xf>
    <xf numFmtId="0" fontId="5" fillId="0" borderId="2" xfId="2" applyNumberFormat="1" applyFont="1" applyBorder="1" applyAlignment="1">
      <alignment horizontal="center" vertical="center"/>
    </xf>
    <xf numFmtId="0" fontId="5" fillId="0" borderId="4" xfId="2" applyFont="1" applyFill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49" fontId="5" fillId="0" borderId="4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4" xfId="2" applyNumberFormat="1" applyFont="1" applyFill="1" applyBorder="1" applyAlignment="1">
      <alignment horizontal="center" vertical="center"/>
    </xf>
    <xf numFmtId="0" fontId="5" fillId="0" borderId="5" xfId="2" applyNumberFormat="1" applyFont="1" applyFill="1" applyBorder="1" applyAlignment="1">
      <alignment horizontal="center" vertical="center"/>
    </xf>
    <xf numFmtId="0" fontId="5" fillId="0" borderId="2" xfId="2" applyNumberFormat="1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center" vertical="center"/>
    </xf>
    <xf numFmtId="49" fontId="5" fillId="0" borderId="5" xfId="2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49" fontId="5" fillId="0" borderId="1" xfId="2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</cellXfs>
  <cellStyles count="6">
    <cellStyle name="Normal_MAIN" xfId="1"/>
    <cellStyle name="Гиперссылка" xfId="5" builtinId="8"/>
    <cellStyle name="Обычный" xfId="0" builtinId="0"/>
    <cellStyle name="Обычный 2" xfId="2"/>
    <cellStyle name="Обычный 3" xfId="3"/>
    <cellStyle name="Финансовый" xfId="4" builtinId="3"/>
  </cellStyles>
  <dxfs count="2">
    <dxf>
      <fill>
        <patternFill patternType="lightGray">
          <fgColor rgb="FF0099CC"/>
        </patternFill>
      </fill>
    </dxf>
    <dxf>
      <fill>
        <patternFill patternType="lightGray">
          <fgColor rgb="FF0099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ssl.ru/products/at-id02-em-karta-dostupa/?utm_source=dssl-yd&amp;utm_medium=cpc&amp;utm_campaign=dssl_yd_rf_performance&amp;utm_term=_52409160941&amp;utm_content=astat:52409160941|ret:52409160941|dsa:52409160941|cid:112515165|gid:5467218881|aid:1846167210872455611|pt:premium|pos:1|st:search|src:none|dvc:desktop|reg:976|adp:no|apt:none|link:main&amp;roistat=direct3_search_1846167210872455611_---autotargeting&amp;roistat_referrer=none&amp;roistat_pos=premium_1&amp;etext=2202.7W334tor5mEM2OrVkrQFdiw5_CD_Yr5Hdx7aD2zAws07uHSBrfHAvxZ0Un0sarcVKuhtTFV-sSAjZXcJWcnagmt1ZnF6bXRtdm51eGpja3c.6c7bc0bc2d2b6de26109e5ba20e06f7a9a434028&amp;yclid=13547732754466340863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ksr.ru/catalog/Datarex/DR-5303/" TargetMode="External"/><Relationship Id="rId1" Type="http://schemas.openxmlformats.org/officeDocument/2006/relationships/hyperlink" Target="https://ksr.ru/catalog/Datarex/DR-530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7"/>
  <sheetViews>
    <sheetView topLeftCell="A386" zoomScale="85" zoomScaleNormal="85" workbookViewId="0">
      <selection activeCell="I398" sqref="I398"/>
    </sheetView>
  </sheetViews>
  <sheetFormatPr defaultRowHeight="15" x14ac:dyDescent="0.25"/>
  <cols>
    <col min="1" max="1" width="23.28515625" style="134" customWidth="1"/>
    <col min="2" max="2" width="69.140625" style="54" customWidth="1"/>
    <col min="3" max="3" width="9.85546875" style="55" bestFit="1" customWidth="1"/>
    <col min="4" max="4" width="7.140625" style="56" bestFit="1" customWidth="1"/>
    <col min="5" max="5" width="41.7109375" customWidth="1"/>
    <col min="6" max="6" width="4.85546875" bestFit="1" customWidth="1"/>
    <col min="7" max="7" width="7.140625" bestFit="1" customWidth="1"/>
    <col min="8" max="8" width="39" bestFit="1" customWidth="1"/>
    <col min="9" max="9" width="47.85546875" bestFit="1" customWidth="1"/>
    <col min="10" max="10" width="7.7109375" style="53" customWidth="1"/>
    <col min="11" max="11" width="11.140625" style="57" bestFit="1" customWidth="1"/>
    <col min="12" max="12" width="22.140625" bestFit="1" customWidth="1"/>
    <col min="13" max="16384" width="9.140625" style="1"/>
  </cols>
  <sheetData>
    <row r="1" spans="1:12" ht="18.75" x14ac:dyDescent="0.25">
      <c r="A1" s="127"/>
      <c r="B1" s="5"/>
      <c r="C1" s="6"/>
      <c r="D1" s="7"/>
      <c r="E1" s="8"/>
      <c r="F1" s="9"/>
      <c r="G1" s="9"/>
      <c r="I1" s="93" t="s">
        <v>13</v>
      </c>
      <c r="J1" s="93"/>
      <c r="K1" s="93"/>
      <c r="L1" s="93"/>
    </row>
    <row r="2" spans="1:12" ht="18.75" x14ac:dyDescent="0.25">
      <c r="A2" s="128"/>
      <c r="B2" s="10"/>
      <c r="C2" s="6"/>
      <c r="D2" s="7"/>
      <c r="E2" s="8"/>
      <c r="F2" s="9"/>
      <c r="G2" s="9"/>
      <c r="I2" s="11" t="s">
        <v>14</v>
      </c>
      <c r="J2" s="12"/>
      <c r="K2" s="13"/>
      <c r="L2" s="11"/>
    </row>
    <row r="3" spans="1:12" s="2" customFormat="1" ht="18.75" x14ac:dyDescent="0.25">
      <c r="A3" s="128"/>
      <c r="B3" s="14"/>
      <c r="C3" s="15"/>
      <c r="D3" s="7"/>
      <c r="E3" s="8"/>
      <c r="F3" s="9"/>
      <c r="G3" s="9"/>
      <c r="H3"/>
      <c r="I3" s="11" t="s">
        <v>15</v>
      </c>
      <c r="J3" s="12"/>
      <c r="K3" s="13"/>
      <c r="L3" s="11"/>
    </row>
    <row r="4" spans="1:12" s="2" customFormat="1" ht="45" customHeight="1" x14ac:dyDescent="0.25">
      <c r="A4" s="128"/>
      <c r="B4" s="10"/>
      <c r="C4" s="6"/>
      <c r="D4" s="7"/>
      <c r="E4" s="8"/>
      <c r="F4" s="9"/>
      <c r="G4" s="9"/>
      <c r="H4"/>
      <c r="I4" s="11" t="s">
        <v>87</v>
      </c>
      <c r="J4" s="12"/>
      <c r="K4" s="13"/>
      <c r="L4" s="11"/>
    </row>
    <row r="5" spans="1:12" s="2" customFormat="1" ht="24.75" customHeight="1" x14ac:dyDescent="0.2">
      <c r="A5" s="128"/>
      <c r="B5" s="10"/>
      <c r="C5" s="6"/>
      <c r="D5" s="7"/>
      <c r="E5" s="8"/>
      <c r="F5" s="9"/>
      <c r="G5" s="9"/>
      <c r="H5" s="14"/>
      <c r="I5" s="14"/>
      <c r="J5" s="8"/>
      <c r="K5" s="16"/>
      <c r="L5" s="14"/>
    </row>
    <row r="6" spans="1:12" s="2" customFormat="1" ht="33" customHeight="1" x14ac:dyDescent="0.2">
      <c r="A6" s="388" t="s">
        <v>9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</row>
    <row r="7" spans="1:12" s="2" customFormat="1" ht="15.75" x14ac:dyDescent="0.2">
      <c r="A7" s="389" t="s">
        <v>16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</row>
    <row r="8" spans="1:12" s="2" customFormat="1" ht="15.75" x14ac:dyDescent="0.2">
      <c r="A8" s="389" t="s">
        <v>103</v>
      </c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</row>
    <row r="9" spans="1:12" s="3" customFormat="1" ht="15.75" x14ac:dyDescent="0.2">
      <c r="A9" s="129"/>
      <c r="B9" s="17"/>
      <c r="C9" s="17"/>
      <c r="D9" s="17"/>
      <c r="E9" s="17"/>
      <c r="F9" s="17"/>
      <c r="G9" s="17"/>
      <c r="H9" s="17"/>
      <c r="I9" s="17"/>
      <c r="J9" s="17"/>
      <c r="K9" s="18"/>
      <c r="L9" s="17"/>
    </row>
    <row r="10" spans="1:12" s="3" customFormat="1" x14ac:dyDescent="0.2">
      <c r="A10" s="390" t="s">
        <v>17</v>
      </c>
      <c r="B10" s="377" t="s">
        <v>1</v>
      </c>
      <c r="C10" s="377" t="s">
        <v>4</v>
      </c>
      <c r="D10" s="378" t="s">
        <v>5</v>
      </c>
      <c r="E10" s="377" t="s">
        <v>2</v>
      </c>
      <c r="F10" s="377"/>
      <c r="G10" s="377"/>
      <c r="H10" s="377"/>
      <c r="I10" s="377" t="s">
        <v>3</v>
      </c>
      <c r="J10" s="377"/>
      <c r="K10" s="377"/>
      <c r="L10" s="377"/>
    </row>
    <row r="11" spans="1:12" s="3" customFormat="1" ht="30" x14ac:dyDescent="0.2">
      <c r="A11" s="390"/>
      <c r="B11" s="377"/>
      <c r="C11" s="377"/>
      <c r="D11" s="378"/>
      <c r="E11" s="65" t="s">
        <v>6</v>
      </c>
      <c r="F11" s="65" t="s">
        <v>7</v>
      </c>
      <c r="G11" s="65" t="s">
        <v>5</v>
      </c>
      <c r="H11" s="65" t="s">
        <v>18</v>
      </c>
      <c r="I11" s="65" t="s">
        <v>6</v>
      </c>
      <c r="J11" s="65" t="s">
        <v>7</v>
      </c>
      <c r="K11" s="66" t="s">
        <v>5</v>
      </c>
      <c r="L11" s="65" t="s">
        <v>8</v>
      </c>
    </row>
    <row r="12" spans="1:12" s="3" customFormat="1" ht="15.75" x14ac:dyDescent="0.2">
      <c r="A12" s="126"/>
      <c r="B12" s="20" t="s">
        <v>101</v>
      </c>
      <c r="C12" s="19"/>
      <c r="D12" s="21"/>
      <c r="E12" s="22"/>
      <c r="F12" s="22"/>
      <c r="G12" s="22"/>
      <c r="H12" s="107"/>
      <c r="I12" s="22"/>
      <c r="J12" s="19"/>
      <c r="K12" s="108"/>
      <c r="L12" s="22"/>
    </row>
    <row r="13" spans="1:12" s="109" customFormat="1" ht="25.5" x14ac:dyDescent="0.2">
      <c r="A13" s="348" t="s">
        <v>90</v>
      </c>
      <c r="B13" s="346" t="s">
        <v>91</v>
      </c>
      <c r="C13" s="352" t="s">
        <v>19</v>
      </c>
      <c r="D13" s="355">
        <v>1</v>
      </c>
      <c r="E13" s="137" t="s">
        <v>99</v>
      </c>
      <c r="F13" s="138" t="s">
        <v>19</v>
      </c>
      <c r="G13" s="139">
        <v>2</v>
      </c>
      <c r="H13" s="153" t="s">
        <v>106</v>
      </c>
      <c r="I13" s="137"/>
      <c r="J13" s="138"/>
      <c r="K13" s="139"/>
      <c r="L13" s="140"/>
    </row>
    <row r="14" spans="1:12" s="109" customFormat="1" ht="25.5" x14ac:dyDescent="0.2">
      <c r="A14" s="350"/>
      <c r="B14" s="351"/>
      <c r="C14" s="353"/>
      <c r="D14" s="356"/>
      <c r="E14" s="141" t="s">
        <v>92</v>
      </c>
      <c r="F14" s="142" t="s">
        <v>19</v>
      </c>
      <c r="G14" s="143">
        <v>4</v>
      </c>
      <c r="H14" s="153" t="s">
        <v>106</v>
      </c>
      <c r="I14" s="141"/>
      <c r="J14" s="142"/>
      <c r="K14" s="143"/>
      <c r="L14" s="140"/>
    </row>
    <row r="15" spans="1:12" s="109" customFormat="1" ht="25.5" x14ac:dyDescent="0.2">
      <c r="A15" s="350"/>
      <c r="B15" s="351"/>
      <c r="C15" s="353"/>
      <c r="D15" s="356"/>
      <c r="E15" s="144" t="s">
        <v>93</v>
      </c>
      <c r="F15" s="145" t="s">
        <v>19</v>
      </c>
      <c r="G15" s="103">
        <v>2</v>
      </c>
      <c r="H15" s="153" t="s">
        <v>108</v>
      </c>
      <c r="I15" s="144"/>
      <c r="J15" s="145"/>
      <c r="K15" s="103"/>
      <c r="L15" s="140"/>
    </row>
    <row r="16" spans="1:12" s="109" customFormat="1" ht="12.75" x14ac:dyDescent="0.2">
      <c r="A16" s="350"/>
      <c r="B16" s="351"/>
      <c r="C16" s="353"/>
      <c r="D16" s="356"/>
      <c r="E16" s="144" t="s">
        <v>107</v>
      </c>
      <c r="F16" s="145" t="s">
        <v>19</v>
      </c>
      <c r="G16" s="101">
        <v>50</v>
      </c>
      <c r="H16" s="153"/>
      <c r="I16" s="144"/>
      <c r="J16" s="145"/>
      <c r="K16" s="101"/>
      <c r="L16" s="140"/>
    </row>
    <row r="17" spans="1:12" s="109" customFormat="1" ht="12.75" x14ac:dyDescent="0.2">
      <c r="A17" s="350"/>
      <c r="B17" s="351"/>
      <c r="C17" s="353"/>
      <c r="D17" s="356"/>
      <c r="E17" s="144" t="s">
        <v>95</v>
      </c>
      <c r="F17" s="145" t="s">
        <v>19</v>
      </c>
      <c r="G17" s="101">
        <v>1</v>
      </c>
      <c r="H17" s="153" t="s">
        <v>108</v>
      </c>
      <c r="I17" s="144"/>
      <c r="J17" s="145"/>
      <c r="K17" s="101"/>
      <c r="L17" s="140"/>
    </row>
    <row r="18" spans="1:12" s="109" customFormat="1" ht="12.75" x14ac:dyDescent="0.2">
      <c r="A18" s="350"/>
      <c r="B18" s="351"/>
      <c r="C18" s="353"/>
      <c r="D18" s="356"/>
      <c r="E18" s="144" t="s">
        <v>96</v>
      </c>
      <c r="F18" s="145" t="s">
        <v>19</v>
      </c>
      <c r="G18" s="101">
        <v>1</v>
      </c>
      <c r="H18" s="153" t="s">
        <v>108</v>
      </c>
      <c r="I18" s="144"/>
      <c r="J18" s="145"/>
      <c r="K18" s="101"/>
      <c r="L18" s="140"/>
    </row>
    <row r="19" spans="1:12" s="109" customFormat="1" ht="38.25" x14ac:dyDescent="0.2">
      <c r="A19" s="350"/>
      <c r="B19" s="351"/>
      <c r="C19" s="353"/>
      <c r="D19" s="356"/>
      <c r="E19" s="144" t="s">
        <v>97</v>
      </c>
      <c r="F19" s="145" t="s">
        <v>19</v>
      </c>
      <c r="G19" s="101">
        <v>1</v>
      </c>
      <c r="H19" s="153"/>
      <c r="I19" s="144"/>
      <c r="J19" s="145"/>
      <c r="K19" s="101"/>
      <c r="L19" s="140"/>
    </row>
    <row r="20" spans="1:12" s="109" customFormat="1" ht="25.5" x14ac:dyDescent="0.2">
      <c r="A20" s="350"/>
      <c r="B20" s="351"/>
      <c r="C20" s="353"/>
      <c r="D20" s="356"/>
      <c r="E20" s="144" t="s">
        <v>102</v>
      </c>
      <c r="F20" s="145" t="s">
        <v>19</v>
      </c>
      <c r="G20" s="101">
        <v>1</v>
      </c>
      <c r="H20" s="153" t="s">
        <v>106</v>
      </c>
      <c r="I20" s="144"/>
      <c r="J20" s="145"/>
      <c r="K20" s="101"/>
      <c r="L20" s="140"/>
    </row>
    <row r="21" spans="1:12" s="109" customFormat="1" ht="25.5" x14ac:dyDescent="0.2">
      <c r="A21" s="349"/>
      <c r="B21" s="347"/>
      <c r="C21" s="354"/>
      <c r="D21" s="357"/>
      <c r="E21" s="144" t="s">
        <v>98</v>
      </c>
      <c r="F21" s="145" t="s">
        <v>19</v>
      </c>
      <c r="G21" s="101">
        <v>1</v>
      </c>
      <c r="H21" s="153" t="s">
        <v>106</v>
      </c>
      <c r="I21" s="144"/>
      <c r="J21" s="145"/>
      <c r="K21" s="101"/>
      <c r="L21" s="140"/>
    </row>
    <row r="22" spans="1:12" s="3" customFormat="1" ht="15.75" x14ac:dyDescent="0.2">
      <c r="A22" s="126"/>
      <c r="B22" s="20" t="s">
        <v>47</v>
      </c>
      <c r="C22" s="19"/>
      <c r="D22" s="21"/>
      <c r="E22" s="19"/>
      <c r="F22" s="19"/>
      <c r="G22" s="19"/>
      <c r="H22" s="32"/>
      <c r="I22" s="19"/>
      <c r="J22" s="19"/>
      <c r="K22" s="23"/>
      <c r="L22" s="19"/>
    </row>
    <row r="23" spans="1:12" s="3" customFormat="1" x14ac:dyDescent="0.2">
      <c r="A23" s="391">
        <v>2</v>
      </c>
      <c r="B23" s="394" t="s">
        <v>12</v>
      </c>
      <c r="C23" s="355" t="s">
        <v>0</v>
      </c>
      <c r="D23" s="379">
        <v>36</v>
      </c>
      <c r="E23" s="366"/>
      <c r="F23" s="366"/>
      <c r="G23" s="366"/>
      <c r="H23" s="46" t="s">
        <v>26</v>
      </c>
      <c r="I23" s="36" t="s">
        <v>0</v>
      </c>
      <c r="J23" s="69">
        <f>16*2.25</f>
        <v>36</v>
      </c>
      <c r="K23" s="31" t="s">
        <v>20</v>
      </c>
      <c r="L23" s="64"/>
    </row>
    <row r="24" spans="1:12" s="3" customFormat="1" x14ac:dyDescent="0.2">
      <c r="A24" s="392"/>
      <c r="B24" s="395"/>
      <c r="C24" s="356"/>
      <c r="D24" s="380"/>
      <c r="E24" s="374"/>
      <c r="F24" s="374"/>
      <c r="G24" s="374"/>
      <c r="H24" s="28" t="s">
        <v>27</v>
      </c>
      <c r="I24" s="36" t="s">
        <v>19</v>
      </c>
      <c r="J24" s="70">
        <f>32*2.25</f>
        <v>72</v>
      </c>
      <c r="K24" s="31" t="s">
        <v>20</v>
      </c>
      <c r="L24" s="64"/>
    </row>
    <row r="25" spans="1:12" s="3" customFormat="1" ht="25.5" x14ac:dyDescent="0.2">
      <c r="A25" s="392"/>
      <c r="B25" s="395"/>
      <c r="C25" s="356"/>
      <c r="D25" s="380"/>
      <c r="E25" s="374"/>
      <c r="F25" s="374"/>
      <c r="G25" s="374"/>
      <c r="H25" s="28" t="s">
        <v>28</v>
      </c>
      <c r="I25" s="36" t="s">
        <v>19</v>
      </c>
      <c r="J25" s="70">
        <f>3*2.25</f>
        <v>6.75</v>
      </c>
      <c r="K25" s="31" t="s">
        <v>20</v>
      </c>
      <c r="L25" s="64"/>
    </row>
    <row r="26" spans="1:12" s="3" customFormat="1" x14ac:dyDescent="0.2">
      <c r="A26" s="392"/>
      <c r="B26" s="395"/>
      <c r="C26" s="356"/>
      <c r="D26" s="380"/>
      <c r="E26" s="374"/>
      <c r="F26" s="374"/>
      <c r="G26" s="374"/>
      <c r="H26" s="28" t="s">
        <v>29</v>
      </c>
      <c r="I26" s="36" t="s">
        <v>19</v>
      </c>
      <c r="J26" s="70">
        <f>64*2.25</f>
        <v>144</v>
      </c>
      <c r="K26" s="31" t="s">
        <v>20</v>
      </c>
      <c r="L26" s="64"/>
    </row>
    <row r="27" spans="1:12" s="3" customFormat="1" x14ac:dyDescent="0.2">
      <c r="A27" s="392"/>
      <c r="B27" s="395"/>
      <c r="C27" s="356"/>
      <c r="D27" s="380"/>
      <c r="E27" s="374"/>
      <c r="F27" s="374"/>
      <c r="G27" s="374"/>
      <c r="H27" s="28" t="s">
        <v>30</v>
      </c>
      <c r="I27" s="36" t="s">
        <v>19</v>
      </c>
      <c r="J27" s="70">
        <f>32*2.25</f>
        <v>72</v>
      </c>
      <c r="K27" s="31" t="s">
        <v>20</v>
      </c>
      <c r="L27" s="64"/>
    </row>
    <row r="28" spans="1:12" s="3" customFormat="1" x14ac:dyDescent="0.2">
      <c r="A28" s="392"/>
      <c r="B28" s="395"/>
      <c r="C28" s="356"/>
      <c r="D28" s="380"/>
      <c r="E28" s="374"/>
      <c r="F28" s="374"/>
      <c r="G28" s="374"/>
      <c r="H28" s="28" t="s">
        <v>31</v>
      </c>
      <c r="I28" s="36" t="s">
        <v>19</v>
      </c>
      <c r="J28" s="70">
        <f>96*2.25</f>
        <v>216</v>
      </c>
      <c r="K28" s="31" t="s">
        <v>20</v>
      </c>
      <c r="L28" s="64"/>
    </row>
    <row r="29" spans="1:12" s="3" customFormat="1" x14ac:dyDescent="0.2">
      <c r="A29" s="392"/>
      <c r="B29" s="395"/>
      <c r="C29" s="356"/>
      <c r="D29" s="380"/>
      <c r="E29" s="374"/>
      <c r="F29" s="374"/>
      <c r="G29" s="374"/>
      <c r="H29" s="47" t="s">
        <v>32</v>
      </c>
      <c r="I29" s="36" t="s">
        <v>33</v>
      </c>
      <c r="J29" s="70">
        <f>8/0.32*2.25</f>
        <v>56.25</v>
      </c>
      <c r="K29" s="31" t="s">
        <v>20</v>
      </c>
      <c r="L29" s="64"/>
    </row>
    <row r="30" spans="1:12" s="3" customFormat="1" ht="25.5" x14ac:dyDescent="0.2">
      <c r="A30" s="392"/>
      <c r="B30" s="395"/>
      <c r="C30" s="356"/>
      <c r="D30" s="380"/>
      <c r="E30" s="374"/>
      <c r="F30" s="374"/>
      <c r="G30" s="374"/>
      <c r="H30" s="47" t="s">
        <v>34</v>
      </c>
      <c r="I30" s="36" t="s">
        <v>33</v>
      </c>
      <c r="J30" s="70">
        <f>32/0.64*2.25</f>
        <v>112.5</v>
      </c>
      <c r="K30" s="31" t="s">
        <v>20</v>
      </c>
      <c r="L30" s="64"/>
    </row>
    <row r="31" spans="1:12" s="3" customFormat="1" ht="12.75" x14ac:dyDescent="0.2">
      <c r="A31" s="393"/>
      <c r="B31" s="396"/>
      <c r="C31" s="357"/>
      <c r="D31" s="381"/>
      <c r="E31" s="367"/>
      <c r="F31" s="367"/>
      <c r="G31" s="367"/>
      <c r="H31" s="28" t="s">
        <v>35</v>
      </c>
      <c r="I31" s="36" t="s">
        <v>19</v>
      </c>
      <c r="J31" s="70">
        <f>32*2.25</f>
        <v>72</v>
      </c>
      <c r="K31" s="31" t="s">
        <v>20</v>
      </c>
      <c r="L31" s="22"/>
    </row>
    <row r="32" spans="1:12" s="3" customFormat="1" ht="15.75" x14ac:dyDescent="0.2">
      <c r="A32" s="126"/>
      <c r="B32" s="20" t="s">
        <v>49</v>
      </c>
      <c r="C32" s="19"/>
      <c r="D32" s="21"/>
      <c r="E32" s="19"/>
      <c r="F32" s="19"/>
      <c r="G32" s="19"/>
      <c r="H32" s="32"/>
      <c r="I32" s="19"/>
      <c r="J32" s="19"/>
      <c r="K32" s="23"/>
      <c r="L32" s="19"/>
    </row>
    <row r="33" spans="1:12" s="3" customFormat="1" ht="12.75" x14ac:dyDescent="0.2">
      <c r="A33" s="125">
        <f>2+1</f>
        <v>3</v>
      </c>
      <c r="B33" s="28" t="s">
        <v>48</v>
      </c>
      <c r="C33" s="31" t="s">
        <v>19</v>
      </c>
      <c r="D33" s="33">
        <v>1</v>
      </c>
      <c r="E33" s="34"/>
      <c r="F33" s="34"/>
      <c r="G33" s="34"/>
      <c r="H33" s="34"/>
      <c r="I33" s="35"/>
      <c r="J33" s="36"/>
      <c r="K33" s="30"/>
      <c r="L33" s="31" t="s">
        <v>20</v>
      </c>
    </row>
    <row r="34" spans="1:12" s="3" customFormat="1" ht="12.75" x14ac:dyDescent="0.2">
      <c r="A34" s="343">
        <f>3+1</f>
        <v>4</v>
      </c>
      <c r="B34" s="346" t="s">
        <v>50</v>
      </c>
      <c r="C34" s="352" t="s">
        <v>0</v>
      </c>
      <c r="D34" s="355">
        <v>2.8</v>
      </c>
      <c r="E34" s="73"/>
      <c r="F34" s="73"/>
      <c r="G34" s="73"/>
      <c r="H34" s="73"/>
      <c r="I34" s="35" t="s">
        <v>51</v>
      </c>
      <c r="J34" s="36" t="s">
        <v>0</v>
      </c>
      <c r="K34" s="30">
        <v>2.8</v>
      </c>
      <c r="L34" s="31" t="s">
        <v>20</v>
      </c>
    </row>
    <row r="35" spans="1:12" s="3" customFormat="1" ht="33.75" customHeight="1" x14ac:dyDescent="0.2">
      <c r="A35" s="343"/>
      <c r="B35" s="351"/>
      <c r="C35" s="353"/>
      <c r="D35" s="356"/>
      <c r="E35" s="73"/>
      <c r="F35" s="73"/>
      <c r="G35" s="73"/>
      <c r="H35" s="73"/>
      <c r="I35" s="35" t="s">
        <v>56</v>
      </c>
      <c r="J35" s="36" t="s">
        <v>19</v>
      </c>
      <c r="K35" s="30">
        <v>1</v>
      </c>
      <c r="L35" s="31" t="s">
        <v>20</v>
      </c>
    </row>
    <row r="36" spans="1:12" s="3" customFormat="1" ht="24" customHeight="1" x14ac:dyDescent="0.2">
      <c r="A36" s="343"/>
      <c r="B36" s="347"/>
      <c r="C36" s="354"/>
      <c r="D36" s="357"/>
      <c r="E36" s="73"/>
      <c r="F36" s="73"/>
      <c r="G36" s="73"/>
      <c r="H36" s="73"/>
      <c r="I36" s="35" t="s">
        <v>57</v>
      </c>
      <c r="J36" s="36" t="s">
        <v>19</v>
      </c>
      <c r="K36" s="30">
        <v>1</v>
      </c>
      <c r="L36" s="31" t="s">
        <v>20</v>
      </c>
    </row>
    <row r="37" spans="1:12" s="3" customFormat="1" ht="15.75" customHeight="1" x14ac:dyDescent="0.2">
      <c r="A37" s="125">
        <f>4+1</f>
        <v>5</v>
      </c>
      <c r="B37" s="42" t="s">
        <v>69</v>
      </c>
      <c r="C37" s="41" t="s">
        <v>19</v>
      </c>
      <c r="D37" s="43">
        <v>1</v>
      </c>
      <c r="E37" s="73"/>
      <c r="F37" s="73"/>
      <c r="G37" s="73"/>
      <c r="H37" s="73"/>
      <c r="I37" s="35" t="s">
        <v>70</v>
      </c>
      <c r="J37" s="36" t="s">
        <v>19</v>
      </c>
      <c r="K37" s="30">
        <v>1</v>
      </c>
      <c r="L37" s="31" t="s">
        <v>20</v>
      </c>
    </row>
    <row r="38" spans="1:12" s="3" customFormat="1" ht="25.5" customHeight="1" x14ac:dyDescent="0.2">
      <c r="A38" s="125">
        <f>5+1</f>
        <v>6</v>
      </c>
      <c r="B38" s="74" t="s">
        <v>21</v>
      </c>
      <c r="C38" s="37" t="s">
        <v>0</v>
      </c>
      <c r="D38" s="38">
        <v>52.9</v>
      </c>
      <c r="E38" s="75"/>
      <c r="F38" s="75"/>
      <c r="G38" s="75"/>
      <c r="H38" s="75"/>
      <c r="I38" s="28" t="s">
        <v>22</v>
      </c>
      <c r="J38" s="36" t="s">
        <v>0</v>
      </c>
      <c r="K38" s="30">
        <v>52.9</v>
      </c>
      <c r="L38" s="31" t="s">
        <v>20</v>
      </c>
    </row>
    <row r="39" spans="1:12" s="3" customFormat="1" ht="25.5" customHeight="1" x14ac:dyDescent="0.2">
      <c r="A39" s="348">
        <f>6+1</f>
        <v>7</v>
      </c>
      <c r="B39" s="346" t="s">
        <v>23</v>
      </c>
      <c r="C39" s="352" t="s">
        <v>0</v>
      </c>
      <c r="D39" s="359">
        <v>46.2</v>
      </c>
      <c r="E39" s="75"/>
      <c r="F39" s="75"/>
      <c r="G39" s="75"/>
      <c r="H39" s="75"/>
      <c r="I39" s="155" t="s">
        <v>114</v>
      </c>
      <c r="J39" s="36" t="s">
        <v>115</v>
      </c>
      <c r="K39" s="30">
        <v>1</v>
      </c>
      <c r="L39" s="156" t="s">
        <v>20</v>
      </c>
    </row>
    <row r="40" spans="1:12" s="3" customFormat="1" ht="25.5" x14ac:dyDescent="0.2">
      <c r="A40" s="349"/>
      <c r="B40" s="347"/>
      <c r="C40" s="354"/>
      <c r="D40" s="360"/>
      <c r="E40" s="39"/>
      <c r="F40" s="39"/>
      <c r="G40" s="39"/>
      <c r="H40" s="39"/>
      <c r="I40" s="28" t="s">
        <v>22</v>
      </c>
      <c r="J40" s="36" t="s">
        <v>0</v>
      </c>
      <c r="K40" s="30">
        <v>46.2</v>
      </c>
      <c r="L40" s="31" t="s">
        <v>20</v>
      </c>
    </row>
    <row r="41" spans="1:12" s="3" customFormat="1" ht="15" customHeight="1" x14ac:dyDescent="0.2">
      <c r="A41" s="348">
        <f>7+1</f>
        <v>8</v>
      </c>
      <c r="B41" s="346" t="s">
        <v>24</v>
      </c>
      <c r="C41" s="160"/>
      <c r="D41" s="163"/>
      <c r="E41" s="39"/>
      <c r="F41" s="39"/>
      <c r="G41" s="39"/>
      <c r="H41" s="39"/>
      <c r="I41" s="159" t="s">
        <v>62</v>
      </c>
      <c r="J41" s="24"/>
      <c r="K41" s="27"/>
      <c r="L41" s="156"/>
    </row>
    <row r="42" spans="1:12" s="3" customFormat="1" ht="12.75" customHeight="1" x14ac:dyDescent="0.2">
      <c r="A42" s="350"/>
      <c r="B42" s="351"/>
      <c r="C42" s="352" t="s">
        <v>19</v>
      </c>
      <c r="D42" s="355">
        <v>1</v>
      </c>
      <c r="E42" s="366"/>
      <c r="F42" s="366"/>
      <c r="G42" s="366"/>
      <c r="H42" s="366"/>
      <c r="I42" s="40" t="s">
        <v>53</v>
      </c>
      <c r="J42" s="24" t="s">
        <v>19</v>
      </c>
      <c r="K42" s="27">
        <v>2</v>
      </c>
      <c r="L42" s="31" t="s">
        <v>20</v>
      </c>
    </row>
    <row r="43" spans="1:12" s="3" customFormat="1" ht="38.25" x14ac:dyDescent="0.2">
      <c r="A43" s="349"/>
      <c r="B43" s="347"/>
      <c r="C43" s="354"/>
      <c r="D43" s="357"/>
      <c r="E43" s="367"/>
      <c r="F43" s="367"/>
      <c r="G43" s="367"/>
      <c r="H43" s="367"/>
      <c r="I43" s="40" t="s">
        <v>52</v>
      </c>
      <c r="J43" s="24" t="s">
        <v>19</v>
      </c>
      <c r="K43" s="27">
        <v>1</v>
      </c>
      <c r="L43" s="31" t="s">
        <v>20</v>
      </c>
    </row>
    <row r="44" spans="1:12" s="3" customFormat="1" ht="38.25" x14ac:dyDescent="0.2">
      <c r="A44" s="343">
        <f>8+1</f>
        <v>9</v>
      </c>
      <c r="B44" s="346" t="s">
        <v>55</v>
      </c>
      <c r="C44" s="352" t="s">
        <v>19</v>
      </c>
      <c r="D44" s="355">
        <v>1</v>
      </c>
      <c r="E44" s="67"/>
      <c r="F44" s="67"/>
      <c r="G44" s="67"/>
      <c r="H44" s="67"/>
      <c r="I44" s="35" t="s">
        <v>54</v>
      </c>
      <c r="J44" s="36" t="s">
        <v>19</v>
      </c>
      <c r="K44" s="30">
        <v>1</v>
      </c>
      <c r="L44" s="31" t="s">
        <v>20</v>
      </c>
    </row>
    <row r="45" spans="1:12" s="3" customFormat="1" ht="12.75" x14ac:dyDescent="0.2">
      <c r="A45" s="343"/>
      <c r="B45" s="347"/>
      <c r="C45" s="354"/>
      <c r="D45" s="357"/>
      <c r="E45" s="45"/>
      <c r="F45" s="45"/>
      <c r="G45" s="45"/>
      <c r="H45" s="45"/>
      <c r="I45" s="35" t="s">
        <v>53</v>
      </c>
      <c r="J45" s="36" t="s">
        <v>19</v>
      </c>
      <c r="K45" s="30">
        <v>1</v>
      </c>
      <c r="L45" s="31" t="s">
        <v>20</v>
      </c>
    </row>
    <row r="46" spans="1:12" s="3" customFormat="1" ht="15.75" x14ac:dyDescent="0.2">
      <c r="A46" s="125">
        <f>9+1</f>
        <v>10</v>
      </c>
      <c r="B46" s="76" t="s">
        <v>58</v>
      </c>
      <c r="C46" s="41" t="s">
        <v>0</v>
      </c>
      <c r="D46" s="71">
        <v>4.5</v>
      </c>
      <c r="E46" s="44"/>
      <c r="F46" s="77"/>
      <c r="G46" s="77"/>
      <c r="H46" s="77"/>
      <c r="I46" s="26" t="s">
        <v>25</v>
      </c>
      <c r="J46" s="24" t="s">
        <v>0</v>
      </c>
      <c r="K46" s="27">
        <v>4.5</v>
      </c>
      <c r="L46" s="25" t="s">
        <v>20</v>
      </c>
    </row>
    <row r="47" spans="1:12" s="3" customFormat="1" ht="16.5" customHeight="1" x14ac:dyDescent="0.2">
      <c r="A47" s="348">
        <f>10+1</f>
        <v>11</v>
      </c>
      <c r="B47" s="351" t="s">
        <v>59</v>
      </c>
      <c r="C47" s="353" t="s">
        <v>0</v>
      </c>
      <c r="D47" s="358">
        <v>9.6999999999999993</v>
      </c>
      <c r="E47" s="44"/>
      <c r="F47" s="77"/>
      <c r="G47" s="77"/>
      <c r="H47" s="77"/>
      <c r="I47" s="159" t="s">
        <v>114</v>
      </c>
      <c r="J47" s="24" t="s">
        <v>115</v>
      </c>
      <c r="K47" s="27">
        <v>1</v>
      </c>
      <c r="L47" s="161" t="s">
        <v>20</v>
      </c>
    </row>
    <row r="48" spans="1:12" s="3" customFormat="1" ht="12.75" customHeight="1" x14ac:dyDescent="0.2">
      <c r="A48" s="350"/>
      <c r="B48" s="351"/>
      <c r="C48" s="353"/>
      <c r="D48" s="358"/>
      <c r="E48" s="39"/>
      <c r="F48" s="39"/>
      <c r="G48" s="39"/>
      <c r="H48" s="39"/>
      <c r="I48" s="28" t="s">
        <v>25</v>
      </c>
      <c r="J48" s="36" t="s">
        <v>0</v>
      </c>
      <c r="K48" s="30">
        <v>9.6999999999999993</v>
      </c>
      <c r="L48" s="31" t="s">
        <v>20</v>
      </c>
    </row>
    <row r="49" spans="1:12" customFormat="1" x14ac:dyDescent="0.25">
      <c r="A49" s="349"/>
      <c r="B49" s="347"/>
      <c r="C49" s="354"/>
      <c r="D49" s="360"/>
      <c r="E49" s="39"/>
      <c r="F49" s="39"/>
      <c r="G49" s="39"/>
      <c r="H49" s="39"/>
      <c r="I49" s="28" t="s">
        <v>66</v>
      </c>
      <c r="J49" s="36" t="s">
        <v>0</v>
      </c>
      <c r="K49" s="30">
        <v>9.6999999999999993</v>
      </c>
      <c r="L49" s="31"/>
    </row>
    <row r="50" spans="1:12" s="3" customFormat="1" ht="12.75" x14ac:dyDescent="0.2">
      <c r="A50" s="343">
        <f>11+1</f>
        <v>12</v>
      </c>
      <c r="B50" s="346" t="s">
        <v>60</v>
      </c>
      <c r="C50" s="352" t="s">
        <v>0</v>
      </c>
      <c r="D50" s="359">
        <v>32.1</v>
      </c>
      <c r="E50" s="39"/>
      <c r="F50" s="39"/>
      <c r="G50" s="39"/>
      <c r="H50" s="39"/>
      <c r="I50" s="28" t="s">
        <v>25</v>
      </c>
      <c r="J50" s="36" t="s">
        <v>0</v>
      </c>
      <c r="K50" s="30">
        <v>32.1</v>
      </c>
      <c r="L50" s="31" t="s">
        <v>20</v>
      </c>
    </row>
    <row r="51" spans="1:12" s="3" customFormat="1" ht="12.75" x14ac:dyDescent="0.2">
      <c r="A51" s="343"/>
      <c r="B51" s="347"/>
      <c r="C51" s="353"/>
      <c r="D51" s="358"/>
      <c r="E51" s="72"/>
      <c r="F51" s="72"/>
      <c r="G51" s="72"/>
      <c r="H51" s="72"/>
      <c r="I51" s="28" t="s">
        <v>66</v>
      </c>
      <c r="J51" s="36" t="s">
        <v>0</v>
      </c>
      <c r="K51" s="30">
        <v>32.1</v>
      </c>
      <c r="L51" s="31"/>
    </row>
    <row r="52" spans="1:12" s="3" customFormat="1" ht="12.75" x14ac:dyDescent="0.2">
      <c r="A52" s="343">
        <f>12+1</f>
        <v>13</v>
      </c>
      <c r="B52" s="346" t="s">
        <v>61</v>
      </c>
      <c r="C52" s="353" t="s">
        <v>19</v>
      </c>
      <c r="D52" s="358">
        <v>4</v>
      </c>
      <c r="E52" s="72"/>
      <c r="F52" s="72"/>
      <c r="G52" s="72"/>
      <c r="H52" s="72"/>
      <c r="I52" s="26" t="s">
        <v>62</v>
      </c>
      <c r="J52" s="24" t="s">
        <v>19</v>
      </c>
      <c r="K52" s="27">
        <v>4</v>
      </c>
      <c r="L52" s="31" t="s">
        <v>20</v>
      </c>
    </row>
    <row r="53" spans="1:12" s="3" customFormat="1" ht="12.75" x14ac:dyDescent="0.2">
      <c r="A53" s="343"/>
      <c r="B53" s="347"/>
      <c r="C53" s="353"/>
      <c r="D53" s="358"/>
      <c r="E53" s="72"/>
      <c r="F53" s="72"/>
      <c r="G53" s="72"/>
      <c r="H53" s="72"/>
      <c r="I53" s="26" t="s">
        <v>63</v>
      </c>
      <c r="J53" s="24" t="s">
        <v>19</v>
      </c>
      <c r="K53" s="27">
        <v>4</v>
      </c>
      <c r="L53" s="31" t="s">
        <v>20</v>
      </c>
    </row>
    <row r="54" spans="1:12" s="3" customFormat="1" ht="15.75" x14ac:dyDescent="0.25">
      <c r="A54" s="126"/>
      <c r="B54" s="78" t="s">
        <v>65</v>
      </c>
      <c r="C54" s="19"/>
      <c r="D54" s="21"/>
      <c r="E54" s="19"/>
      <c r="F54" s="19"/>
      <c r="G54" s="19"/>
      <c r="H54" s="32"/>
      <c r="I54" s="19"/>
      <c r="J54" s="19"/>
      <c r="K54" s="23"/>
      <c r="L54" s="19"/>
    </row>
    <row r="55" spans="1:12" s="3" customFormat="1" ht="12.75" x14ac:dyDescent="0.2">
      <c r="A55" s="125">
        <f>13+1</f>
        <v>14</v>
      </c>
      <c r="B55" s="28" t="s">
        <v>48</v>
      </c>
      <c r="C55" s="31" t="s">
        <v>19</v>
      </c>
      <c r="D55" s="33">
        <v>2</v>
      </c>
      <c r="E55" s="34"/>
      <c r="F55" s="34"/>
      <c r="G55" s="34"/>
      <c r="H55" s="34"/>
      <c r="I55" s="35"/>
      <c r="J55" s="36"/>
      <c r="K55" s="30"/>
      <c r="L55" s="31" t="s">
        <v>20</v>
      </c>
    </row>
    <row r="56" spans="1:12" s="3" customFormat="1" ht="12.75" x14ac:dyDescent="0.2">
      <c r="A56" s="348">
        <f>14+1</f>
        <v>15</v>
      </c>
      <c r="B56" s="346" t="s">
        <v>50</v>
      </c>
      <c r="C56" s="352" t="s">
        <v>0</v>
      </c>
      <c r="D56" s="355">
        <v>9.1</v>
      </c>
      <c r="E56" s="73"/>
      <c r="F56" s="73"/>
      <c r="G56" s="73"/>
      <c r="H56" s="73"/>
      <c r="I56" s="35" t="s">
        <v>51</v>
      </c>
      <c r="J56" s="36" t="s">
        <v>0</v>
      </c>
      <c r="K56" s="30">
        <v>9.1</v>
      </c>
      <c r="L56" s="31" t="s">
        <v>20</v>
      </c>
    </row>
    <row r="57" spans="1:12" s="3" customFormat="1" ht="15.75" customHeight="1" x14ac:dyDescent="0.2">
      <c r="A57" s="350"/>
      <c r="B57" s="351"/>
      <c r="C57" s="353"/>
      <c r="D57" s="356"/>
      <c r="E57" s="73"/>
      <c r="F57" s="73"/>
      <c r="G57" s="73"/>
      <c r="H57" s="73"/>
      <c r="I57" s="35" t="s">
        <v>64</v>
      </c>
      <c r="J57" s="36" t="s">
        <v>19</v>
      </c>
      <c r="K57" s="30">
        <v>2</v>
      </c>
      <c r="L57" s="31" t="s">
        <v>20</v>
      </c>
    </row>
    <row r="58" spans="1:12" s="3" customFormat="1" ht="25.5" customHeight="1" x14ac:dyDescent="0.2">
      <c r="A58" s="350"/>
      <c r="B58" s="351"/>
      <c r="C58" s="353"/>
      <c r="D58" s="356"/>
      <c r="E58" s="73"/>
      <c r="F58" s="73"/>
      <c r="G58" s="73"/>
      <c r="H58" s="73"/>
      <c r="I58" s="35" t="s">
        <v>57</v>
      </c>
      <c r="J58" s="36" t="s">
        <v>19</v>
      </c>
      <c r="K58" s="30">
        <v>4</v>
      </c>
      <c r="L58" s="31" t="s">
        <v>20</v>
      </c>
    </row>
    <row r="59" spans="1:12" s="3" customFormat="1" ht="15.75" customHeight="1" x14ac:dyDescent="0.25">
      <c r="A59" s="130">
        <f>15+1</f>
        <v>16</v>
      </c>
      <c r="B59" s="98" t="s">
        <v>69</v>
      </c>
      <c r="C59" s="156" t="s">
        <v>19</v>
      </c>
      <c r="D59" s="33">
        <v>2</v>
      </c>
      <c r="E59" s="98"/>
      <c r="F59" s="98"/>
      <c r="G59" s="98"/>
      <c r="H59" s="98"/>
      <c r="I59" t="s">
        <v>70</v>
      </c>
      <c r="J59" s="4" t="s">
        <v>19</v>
      </c>
      <c r="K59" s="79">
        <v>2</v>
      </c>
      <c r="L59" s="31" t="s">
        <v>20</v>
      </c>
    </row>
    <row r="60" spans="1:12" s="3" customFormat="1" ht="25.5" x14ac:dyDescent="0.2">
      <c r="A60" s="124">
        <f>16+1</f>
        <v>17</v>
      </c>
      <c r="B60" s="74" t="s">
        <v>21</v>
      </c>
      <c r="C60" s="37" t="s">
        <v>0</v>
      </c>
      <c r="D60" s="38">
        <v>84.7</v>
      </c>
      <c r="E60" s="75"/>
      <c r="F60" s="75"/>
      <c r="G60" s="75"/>
      <c r="H60" s="75"/>
      <c r="I60" s="28" t="s">
        <v>22</v>
      </c>
      <c r="J60" s="36" t="s">
        <v>0</v>
      </c>
      <c r="K60" s="30">
        <v>84.7</v>
      </c>
      <c r="L60" s="31" t="s">
        <v>20</v>
      </c>
    </row>
    <row r="61" spans="1:12" s="3" customFormat="1" ht="15" customHeight="1" x14ac:dyDescent="0.2">
      <c r="A61" s="348">
        <f>17+1</f>
        <v>18</v>
      </c>
      <c r="B61" s="346" t="s">
        <v>23</v>
      </c>
      <c r="C61" s="160"/>
      <c r="D61" s="163"/>
      <c r="E61" s="75"/>
      <c r="F61" s="75"/>
      <c r="G61" s="75"/>
      <c r="H61" s="75"/>
      <c r="I61" s="155" t="s">
        <v>114</v>
      </c>
      <c r="J61" s="36" t="s">
        <v>115</v>
      </c>
      <c r="K61" s="30">
        <v>1</v>
      </c>
      <c r="L61" s="156" t="s">
        <v>20</v>
      </c>
    </row>
    <row r="62" spans="1:12" s="3" customFormat="1" ht="25.5" x14ac:dyDescent="0.2">
      <c r="A62" s="349"/>
      <c r="B62" s="347"/>
      <c r="C62" s="37" t="s">
        <v>0</v>
      </c>
      <c r="D62" s="38">
        <v>95</v>
      </c>
      <c r="E62" s="39"/>
      <c r="F62" s="39"/>
      <c r="G62" s="39"/>
      <c r="H62" s="39"/>
      <c r="I62" s="28" t="s">
        <v>22</v>
      </c>
      <c r="J62" s="36" t="s">
        <v>0</v>
      </c>
      <c r="K62" s="30">
        <v>95</v>
      </c>
      <c r="L62" s="31" t="s">
        <v>20</v>
      </c>
    </row>
    <row r="63" spans="1:12" s="3" customFormat="1" ht="12.75" x14ac:dyDescent="0.2">
      <c r="A63" s="348">
        <f>18+1</f>
        <v>19</v>
      </c>
      <c r="B63" s="346" t="s">
        <v>24</v>
      </c>
      <c r="C63" s="352" t="s">
        <v>19</v>
      </c>
      <c r="D63" s="355">
        <v>5</v>
      </c>
      <c r="E63" s="366"/>
      <c r="F63" s="366"/>
      <c r="G63" s="366"/>
      <c r="H63" s="366"/>
      <c r="I63" s="40" t="s">
        <v>53</v>
      </c>
      <c r="J63" s="24" t="s">
        <v>19</v>
      </c>
      <c r="K63" s="27">
        <v>5</v>
      </c>
      <c r="L63" s="31" t="s">
        <v>20</v>
      </c>
    </row>
    <row r="64" spans="1:12" s="3" customFormat="1" ht="38.25" x14ac:dyDescent="0.2">
      <c r="A64" s="349"/>
      <c r="B64" s="347"/>
      <c r="C64" s="354"/>
      <c r="D64" s="357"/>
      <c r="E64" s="367"/>
      <c r="F64" s="367"/>
      <c r="G64" s="367"/>
      <c r="H64" s="367"/>
      <c r="I64" s="40" t="s">
        <v>52</v>
      </c>
      <c r="J64" s="24" t="s">
        <v>19</v>
      </c>
      <c r="K64" s="27">
        <v>5</v>
      </c>
      <c r="L64" s="31" t="s">
        <v>20</v>
      </c>
    </row>
    <row r="65" spans="1:12" s="3" customFormat="1" ht="38.25" x14ac:dyDescent="0.2">
      <c r="A65" s="348">
        <f>19+1</f>
        <v>20</v>
      </c>
      <c r="B65" s="346" t="s">
        <v>55</v>
      </c>
      <c r="C65" s="352" t="s">
        <v>19</v>
      </c>
      <c r="D65" s="355">
        <v>1</v>
      </c>
      <c r="E65" s="67"/>
      <c r="F65" s="67"/>
      <c r="G65" s="67"/>
      <c r="H65" s="67"/>
      <c r="I65" s="35" t="s">
        <v>54</v>
      </c>
      <c r="J65" s="36" t="s">
        <v>19</v>
      </c>
      <c r="K65" s="30">
        <v>1</v>
      </c>
      <c r="L65" s="31" t="s">
        <v>20</v>
      </c>
    </row>
    <row r="66" spans="1:12" s="3" customFormat="1" ht="12.75" x14ac:dyDescent="0.2">
      <c r="A66" s="349"/>
      <c r="B66" s="347"/>
      <c r="C66" s="354"/>
      <c r="D66" s="357"/>
      <c r="E66" s="45"/>
      <c r="F66" s="45"/>
      <c r="G66" s="45"/>
      <c r="H66" s="45"/>
      <c r="I66" s="35" t="s">
        <v>53</v>
      </c>
      <c r="J66" s="36" t="s">
        <v>19</v>
      </c>
      <c r="K66" s="30">
        <v>1</v>
      </c>
      <c r="L66" s="31" t="s">
        <v>20</v>
      </c>
    </row>
    <row r="67" spans="1:12" s="3" customFormat="1" ht="15.75" x14ac:dyDescent="0.2">
      <c r="A67" s="154">
        <f>20+1</f>
        <v>21</v>
      </c>
      <c r="B67" s="80" t="s">
        <v>58</v>
      </c>
      <c r="C67" s="41" t="s">
        <v>0</v>
      </c>
      <c r="D67" s="71">
        <v>14.2</v>
      </c>
      <c r="E67" s="44"/>
      <c r="F67" s="77"/>
      <c r="G67" s="77"/>
      <c r="H67" s="77"/>
      <c r="I67" s="26" t="s">
        <v>25</v>
      </c>
      <c r="J67" s="24" t="s">
        <v>0</v>
      </c>
      <c r="K67" s="27">
        <v>14.25</v>
      </c>
      <c r="L67" s="25" t="s">
        <v>20</v>
      </c>
    </row>
    <row r="68" spans="1:12" s="3" customFormat="1" ht="16.5" customHeight="1" x14ac:dyDescent="0.2">
      <c r="A68" s="350">
        <f>21+1</f>
        <v>22</v>
      </c>
      <c r="B68" s="351" t="s">
        <v>59</v>
      </c>
      <c r="C68" s="353" t="s">
        <v>0</v>
      </c>
      <c r="D68" s="358">
        <v>8.8000000000000007</v>
      </c>
      <c r="E68" s="44"/>
      <c r="F68" s="77"/>
      <c r="G68" s="77"/>
      <c r="H68" s="77"/>
      <c r="I68" s="159" t="s">
        <v>114</v>
      </c>
      <c r="J68" s="24" t="s">
        <v>115</v>
      </c>
      <c r="K68" s="27">
        <v>1</v>
      </c>
      <c r="L68" s="161" t="s">
        <v>20</v>
      </c>
    </row>
    <row r="69" spans="1:12" s="3" customFormat="1" ht="12.75" customHeight="1" x14ac:dyDescent="0.2">
      <c r="A69" s="350"/>
      <c r="B69" s="351"/>
      <c r="C69" s="353"/>
      <c r="D69" s="358"/>
      <c r="E69" s="39"/>
      <c r="F69" s="39"/>
      <c r="G69" s="39"/>
      <c r="H69" s="39"/>
      <c r="I69" s="28" t="s">
        <v>25</v>
      </c>
      <c r="J69" s="36" t="s">
        <v>0</v>
      </c>
      <c r="K69" s="30">
        <v>8.8000000000000007</v>
      </c>
      <c r="L69" s="31" t="s">
        <v>20</v>
      </c>
    </row>
    <row r="70" spans="1:12" s="3" customFormat="1" ht="12.75" x14ac:dyDescent="0.2">
      <c r="A70" s="349"/>
      <c r="B70" s="347"/>
      <c r="C70" s="354"/>
      <c r="D70" s="360"/>
      <c r="E70" s="39"/>
      <c r="F70" s="39"/>
      <c r="G70" s="39"/>
      <c r="H70" s="39"/>
      <c r="I70" s="28" t="s">
        <v>66</v>
      </c>
      <c r="J70" s="36" t="s">
        <v>19</v>
      </c>
      <c r="K70" s="30">
        <v>8.8000000000000007</v>
      </c>
      <c r="L70" s="31" t="s">
        <v>20</v>
      </c>
    </row>
    <row r="71" spans="1:12" s="3" customFormat="1" ht="12.75" x14ac:dyDescent="0.2">
      <c r="A71" s="348">
        <f>22+1</f>
        <v>23</v>
      </c>
      <c r="B71" s="342" t="s">
        <v>60</v>
      </c>
      <c r="C71" s="344" t="s">
        <v>0</v>
      </c>
      <c r="D71" s="345">
        <v>27.1</v>
      </c>
      <c r="E71" s="39"/>
      <c r="F71" s="39"/>
      <c r="G71" s="39"/>
      <c r="H71" s="39"/>
      <c r="I71" s="28" t="s">
        <v>25</v>
      </c>
      <c r="J71" s="36" t="s">
        <v>0</v>
      </c>
      <c r="K71" s="30">
        <v>27.1</v>
      </c>
      <c r="L71" s="31" t="s">
        <v>20</v>
      </c>
    </row>
    <row r="72" spans="1:12" s="3" customFormat="1" ht="12.75" x14ac:dyDescent="0.2">
      <c r="A72" s="349"/>
      <c r="B72" s="342"/>
      <c r="C72" s="344"/>
      <c r="D72" s="345"/>
      <c r="E72" s="72"/>
      <c r="F72" s="72"/>
      <c r="G72" s="72"/>
      <c r="H72" s="72"/>
      <c r="I72" s="28" t="s">
        <v>66</v>
      </c>
      <c r="J72" s="36" t="s">
        <v>19</v>
      </c>
      <c r="K72" s="30">
        <v>27.1</v>
      </c>
      <c r="L72" s="31" t="s">
        <v>20</v>
      </c>
    </row>
    <row r="73" spans="1:12" s="3" customFormat="1" ht="12.75" x14ac:dyDescent="0.2">
      <c r="A73" s="343">
        <f>23+1</f>
        <v>24</v>
      </c>
      <c r="B73" s="342" t="s">
        <v>61</v>
      </c>
      <c r="C73" s="344" t="s">
        <v>19</v>
      </c>
      <c r="D73" s="345">
        <v>16</v>
      </c>
      <c r="E73" s="72"/>
      <c r="F73" s="72"/>
      <c r="G73" s="72"/>
      <c r="H73" s="72"/>
      <c r="I73" s="26" t="s">
        <v>62</v>
      </c>
      <c r="J73" s="24" t="s">
        <v>19</v>
      </c>
      <c r="K73" s="27">
        <v>16</v>
      </c>
      <c r="L73" s="31" t="s">
        <v>20</v>
      </c>
    </row>
    <row r="74" spans="1:12" s="3" customFormat="1" ht="12.75" x14ac:dyDescent="0.2">
      <c r="A74" s="343"/>
      <c r="B74" s="342"/>
      <c r="C74" s="344"/>
      <c r="D74" s="345"/>
      <c r="E74" s="72"/>
      <c r="F74" s="72"/>
      <c r="G74" s="72"/>
      <c r="H74" s="72"/>
      <c r="I74" s="26" t="s">
        <v>63</v>
      </c>
      <c r="J74" s="24" t="s">
        <v>19</v>
      </c>
      <c r="K74" s="27">
        <v>16</v>
      </c>
      <c r="L74" s="31" t="s">
        <v>20</v>
      </c>
    </row>
    <row r="75" spans="1:12" s="3" customFormat="1" ht="15.75" x14ac:dyDescent="0.25">
      <c r="A75" s="126"/>
      <c r="B75" s="92" t="s">
        <v>67</v>
      </c>
      <c r="C75" s="19"/>
      <c r="D75" s="21"/>
      <c r="E75" s="19"/>
      <c r="F75" s="19"/>
      <c r="G75" s="19"/>
      <c r="H75" s="32"/>
      <c r="I75" s="19"/>
      <c r="J75" s="19"/>
      <c r="K75" s="23"/>
      <c r="L75" s="19"/>
    </row>
    <row r="76" spans="1:12" s="3" customFormat="1" ht="12.75" x14ac:dyDescent="0.2">
      <c r="A76" s="125">
        <f>24+1</f>
        <v>25</v>
      </c>
      <c r="B76" s="28" t="s">
        <v>48</v>
      </c>
      <c r="C76" s="31" t="s">
        <v>19</v>
      </c>
      <c r="D76" s="33">
        <v>2</v>
      </c>
      <c r="E76" s="34"/>
      <c r="F76" s="34"/>
      <c r="G76" s="34"/>
      <c r="H76" s="34"/>
      <c r="I76" s="35"/>
      <c r="J76" s="36"/>
      <c r="K76" s="30"/>
      <c r="L76" s="31" t="s">
        <v>20</v>
      </c>
    </row>
    <row r="77" spans="1:12" s="3" customFormat="1" ht="12.75" customHeight="1" x14ac:dyDescent="0.2">
      <c r="A77" s="348">
        <f>25+1</f>
        <v>26</v>
      </c>
      <c r="B77" s="346" t="s">
        <v>50</v>
      </c>
      <c r="C77" s="352" t="s">
        <v>0</v>
      </c>
      <c r="D77" s="355">
        <v>2</v>
      </c>
      <c r="E77" s="366"/>
      <c r="F77" s="366"/>
      <c r="G77" s="366"/>
      <c r="H77" s="366"/>
      <c r="I77" s="35" t="s">
        <v>51</v>
      </c>
      <c r="J77" s="36" t="s">
        <v>0</v>
      </c>
      <c r="K77" s="30">
        <v>2</v>
      </c>
      <c r="L77" s="31" t="s">
        <v>20</v>
      </c>
    </row>
    <row r="78" spans="1:12" s="3" customFormat="1" ht="12.75" x14ac:dyDescent="0.2">
      <c r="A78" s="349"/>
      <c r="B78" s="347"/>
      <c r="C78" s="354"/>
      <c r="D78" s="357"/>
      <c r="E78" s="367"/>
      <c r="F78" s="367"/>
      <c r="G78" s="367"/>
      <c r="H78" s="367"/>
      <c r="I78" s="35" t="s">
        <v>57</v>
      </c>
      <c r="J78" s="36" t="s">
        <v>19</v>
      </c>
      <c r="K78" s="30">
        <v>2</v>
      </c>
      <c r="L78" s="31" t="s">
        <v>20</v>
      </c>
    </row>
    <row r="79" spans="1:12" s="3" customFormat="1" ht="12.75" x14ac:dyDescent="0.2">
      <c r="A79" s="123">
        <f>26+1</f>
        <v>27</v>
      </c>
      <c r="B79" s="42" t="s">
        <v>69</v>
      </c>
      <c r="C79" s="41" t="s">
        <v>19</v>
      </c>
      <c r="D79" s="43">
        <v>1</v>
      </c>
      <c r="E79" s="68"/>
      <c r="F79" s="68"/>
      <c r="G79" s="68"/>
      <c r="H79" s="68"/>
      <c r="I79" s="35" t="s">
        <v>70</v>
      </c>
      <c r="J79" s="36" t="s">
        <v>19</v>
      </c>
      <c r="K79" s="30">
        <v>1</v>
      </c>
      <c r="L79" s="31" t="s">
        <v>20</v>
      </c>
    </row>
    <row r="80" spans="1:12" s="3" customFormat="1" ht="25.5" x14ac:dyDescent="0.2">
      <c r="A80" s="124">
        <f>27+1</f>
        <v>28</v>
      </c>
      <c r="B80" s="74" t="s">
        <v>21</v>
      </c>
      <c r="C80" s="37" t="s">
        <v>0</v>
      </c>
      <c r="D80" s="38">
        <v>64</v>
      </c>
      <c r="E80" s="75"/>
      <c r="F80" s="75"/>
      <c r="G80" s="75"/>
      <c r="H80" s="75"/>
      <c r="I80" s="28" t="s">
        <v>22</v>
      </c>
      <c r="J80" s="36" t="s">
        <v>0</v>
      </c>
      <c r="K80" s="30">
        <v>64</v>
      </c>
      <c r="L80" s="31" t="s">
        <v>20</v>
      </c>
    </row>
    <row r="81" spans="1:12" s="3" customFormat="1" ht="15" customHeight="1" x14ac:dyDescent="0.2">
      <c r="A81" s="348">
        <f>28+1</f>
        <v>29</v>
      </c>
      <c r="B81" s="346" t="s">
        <v>23</v>
      </c>
      <c r="C81" s="352" t="s">
        <v>0</v>
      </c>
      <c r="D81" s="359">
        <v>60</v>
      </c>
      <c r="E81" s="75"/>
      <c r="F81" s="75"/>
      <c r="G81" s="75"/>
      <c r="H81" s="75"/>
      <c r="I81" s="155" t="s">
        <v>114</v>
      </c>
      <c r="J81" s="36" t="s">
        <v>115</v>
      </c>
      <c r="K81" s="30">
        <v>1</v>
      </c>
      <c r="L81" s="156" t="s">
        <v>20</v>
      </c>
    </row>
    <row r="82" spans="1:12" s="3" customFormat="1" ht="25.5" x14ac:dyDescent="0.2">
      <c r="A82" s="349"/>
      <c r="B82" s="347"/>
      <c r="C82" s="354"/>
      <c r="D82" s="360"/>
      <c r="E82" s="39"/>
      <c r="F82" s="39"/>
      <c r="G82" s="39"/>
      <c r="H82" s="39"/>
      <c r="I82" s="28" t="s">
        <v>22</v>
      </c>
      <c r="J82" s="36" t="s">
        <v>0</v>
      </c>
      <c r="K82" s="30">
        <v>60</v>
      </c>
      <c r="L82" s="31" t="s">
        <v>20</v>
      </c>
    </row>
    <row r="83" spans="1:12" s="3" customFormat="1" ht="12.75" x14ac:dyDescent="0.2">
      <c r="A83" s="348">
        <f>29+1</f>
        <v>30</v>
      </c>
      <c r="B83" s="346" t="s">
        <v>24</v>
      </c>
      <c r="C83" s="352" t="s">
        <v>19</v>
      </c>
      <c r="D83" s="355">
        <v>2</v>
      </c>
      <c r="E83" s="366"/>
      <c r="F83" s="366"/>
      <c r="G83" s="366"/>
      <c r="H83" s="366"/>
      <c r="I83" s="40" t="s">
        <v>53</v>
      </c>
      <c r="J83" s="24" t="s">
        <v>19</v>
      </c>
      <c r="K83" s="27">
        <v>2</v>
      </c>
      <c r="L83" s="31" t="s">
        <v>20</v>
      </c>
    </row>
    <row r="84" spans="1:12" s="3" customFormat="1" ht="38.25" x14ac:dyDescent="0.2">
      <c r="A84" s="349"/>
      <c r="B84" s="347"/>
      <c r="C84" s="354"/>
      <c r="D84" s="357"/>
      <c r="E84" s="367"/>
      <c r="F84" s="367"/>
      <c r="G84" s="367"/>
      <c r="H84" s="367"/>
      <c r="I84" s="40" t="s">
        <v>52</v>
      </c>
      <c r="J84" s="24" t="s">
        <v>19</v>
      </c>
      <c r="K84" s="27">
        <v>2</v>
      </c>
      <c r="L84" s="31" t="s">
        <v>20</v>
      </c>
    </row>
    <row r="85" spans="1:12" s="3" customFormat="1" ht="38.25" x14ac:dyDescent="0.2">
      <c r="A85" s="348">
        <f>30+1</f>
        <v>31</v>
      </c>
      <c r="B85" s="346" t="s">
        <v>55</v>
      </c>
      <c r="C85" s="352" t="s">
        <v>19</v>
      </c>
      <c r="D85" s="355">
        <v>1</v>
      </c>
      <c r="E85" s="67"/>
      <c r="F85" s="67"/>
      <c r="G85" s="67"/>
      <c r="H85" s="67"/>
      <c r="I85" s="35" t="s">
        <v>54</v>
      </c>
      <c r="J85" s="36" t="s">
        <v>19</v>
      </c>
      <c r="K85" s="30">
        <v>1</v>
      </c>
      <c r="L85" s="31" t="s">
        <v>20</v>
      </c>
    </row>
    <row r="86" spans="1:12" s="3" customFormat="1" ht="12.75" x14ac:dyDescent="0.2">
      <c r="A86" s="349"/>
      <c r="B86" s="347"/>
      <c r="C86" s="354"/>
      <c r="D86" s="357"/>
      <c r="E86" s="45"/>
      <c r="F86" s="45"/>
      <c r="G86" s="45"/>
      <c r="H86" s="45"/>
      <c r="I86" s="35" t="s">
        <v>53</v>
      </c>
      <c r="J86" s="36" t="s">
        <v>19</v>
      </c>
      <c r="K86" s="30">
        <v>1</v>
      </c>
      <c r="L86" s="31" t="s">
        <v>20</v>
      </c>
    </row>
    <row r="87" spans="1:12" s="3" customFormat="1" ht="15.75" x14ac:dyDescent="0.2">
      <c r="A87" s="124">
        <f>31+1</f>
        <v>32</v>
      </c>
      <c r="B87" s="76" t="s">
        <v>58</v>
      </c>
      <c r="C87" s="41" t="s">
        <v>0</v>
      </c>
      <c r="D87" s="71">
        <v>3.3</v>
      </c>
      <c r="E87" s="44"/>
      <c r="F87" s="77"/>
      <c r="G87" s="77"/>
      <c r="H87" s="77"/>
      <c r="I87" s="26" t="s">
        <v>25</v>
      </c>
      <c r="J87" s="24" t="s">
        <v>0</v>
      </c>
      <c r="K87" s="27">
        <v>3.3</v>
      </c>
      <c r="L87" s="25" t="s">
        <v>20</v>
      </c>
    </row>
    <row r="88" spans="1:12" s="3" customFormat="1" ht="16.5" customHeight="1" x14ac:dyDescent="0.2">
      <c r="A88" s="343">
        <f>32+1</f>
        <v>33</v>
      </c>
      <c r="B88" s="342" t="s">
        <v>59</v>
      </c>
      <c r="C88" s="344" t="s">
        <v>0</v>
      </c>
      <c r="D88" s="345">
        <v>0.5</v>
      </c>
      <c r="E88" s="34"/>
      <c r="F88" s="172"/>
      <c r="G88" s="172"/>
      <c r="H88" s="172"/>
      <c r="I88" s="159" t="s">
        <v>114</v>
      </c>
      <c r="J88" s="24" t="s">
        <v>115</v>
      </c>
      <c r="K88" s="27">
        <v>1</v>
      </c>
      <c r="L88" s="161" t="s">
        <v>20</v>
      </c>
    </row>
    <row r="89" spans="1:12" s="3" customFormat="1" ht="12.75" customHeight="1" x14ac:dyDescent="0.2">
      <c r="A89" s="343"/>
      <c r="B89" s="342"/>
      <c r="C89" s="344"/>
      <c r="D89" s="345"/>
      <c r="E89" s="49"/>
      <c r="F89" s="49"/>
      <c r="G89" s="49"/>
      <c r="H89" s="49"/>
      <c r="I89" s="28" t="s">
        <v>25</v>
      </c>
      <c r="J89" s="36" t="s">
        <v>0</v>
      </c>
      <c r="K89" s="30">
        <v>0.5</v>
      </c>
      <c r="L89" s="31" t="s">
        <v>20</v>
      </c>
    </row>
    <row r="90" spans="1:12" s="3" customFormat="1" ht="12.75" x14ac:dyDescent="0.2">
      <c r="A90" s="343"/>
      <c r="B90" s="342"/>
      <c r="C90" s="344"/>
      <c r="D90" s="345"/>
      <c r="E90" s="49"/>
      <c r="F90" s="49"/>
      <c r="G90" s="49"/>
      <c r="H90" s="49"/>
      <c r="I90" s="28" t="s">
        <v>66</v>
      </c>
      <c r="J90" s="36" t="s">
        <v>19</v>
      </c>
      <c r="K90" s="30">
        <v>0.5</v>
      </c>
      <c r="L90" s="31" t="s">
        <v>20</v>
      </c>
    </row>
    <row r="91" spans="1:12" s="3" customFormat="1" ht="12.75" x14ac:dyDescent="0.2">
      <c r="A91" s="350">
        <f>33+1</f>
        <v>34</v>
      </c>
      <c r="B91" s="351" t="s">
        <v>61</v>
      </c>
      <c r="C91" s="353" t="s">
        <v>19</v>
      </c>
      <c r="D91" s="358">
        <v>7</v>
      </c>
      <c r="E91" s="72"/>
      <c r="F91" s="72"/>
      <c r="G91" s="72"/>
      <c r="H91" s="72"/>
      <c r="I91" s="26" t="s">
        <v>62</v>
      </c>
      <c r="J91" s="24" t="s">
        <v>19</v>
      </c>
      <c r="K91" s="27">
        <v>7</v>
      </c>
      <c r="L91" s="31" t="s">
        <v>20</v>
      </c>
    </row>
    <row r="92" spans="1:12" s="3" customFormat="1" ht="12.75" x14ac:dyDescent="0.2">
      <c r="A92" s="350"/>
      <c r="B92" s="351"/>
      <c r="C92" s="353"/>
      <c r="D92" s="358"/>
      <c r="E92" s="72"/>
      <c r="F92" s="72"/>
      <c r="G92" s="72"/>
      <c r="H92" s="72"/>
      <c r="I92" s="26" t="s">
        <v>63</v>
      </c>
      <c r="J92" s="24" t="s">
        <v>19</v>
      </c>
      <c r="K92" s="27">
        <v>7</v>
      </c>
      <c r="L92" s="31" t="s">
        <v>20</v>
      </c>
    </row>
    <row r="93" spans="1:12" s="3" customFormat="1" ht="15.75" x14ac:dyDescent="0.25">
      <c r="A93" s="126"/>
      <c r="B93" s="78" t="s">
        <v>68</v>
      </c>
      <c r="C93" s="19"/>
      <c r="D93" s="21"/>
      <c r="E93" s="19"/>
      <c r="F93" s="19"/>
      <c r="G93" s="19"/>
      <c r="H93" s="32"/>
      <c r="I93" s="19"/>
      <c r="J93" s="19"/>
      <c r="K93" s="23"/>
      <c r="L93" s="19"/>
    </row>
    <row r="94" spans="1:12" s="3" customFormat="1" ht="12.75" x14ac:dyDescent="0.2">
      <c r="A94" s="125">
        <f>34+1</f>
        <v>35</v>
      </c>
      <c r="B94" s="28" t="s">
        <v>48</v>
      </c>
      <c r="C94" s="31" t="s">
        <v>19</v>
      </c>
      <c r="D94" s="33">
        <v>2</v>
      </c>
      <c r="E94" s="34"/>
      <c r="F94" s="34"/>
      <c r="G94" s="34"/>
      <c r="H94" s="34"/>
      <c r="I94" s="35"/>
      <c r="J94" s="36"/>
      <c r="K94" s="30"/>
      <c r="L94" s="31" t="s">
        <v>20</v>
      </c>
    </row>
    <row r="95" spans="1:12" s="3" customFormat="1" ht="12.75" x14ac:dyDescent="0.2">
      <c r="A95" s="348">
        <f>35+1</f>
        <v>36</v>
      </c>
      <c r="B95" s="346" t="s">
        <v>50</v>
      </c>
      <c r="C95" s="352" t="s">
        <v>0</v>
      </c>
      <c r="D95" s="355">
        <v>9.4</v>
      </c>
      <c r="E95" s="366"/>
      <c r="F95" s="366"/>
      <c r="G95" s="366"/>
      <c r="H95" s="366"/>
      <c r="I95" s="35" t="s">
        <v>51</v>
      </c>
      <c r="J95" s="36" t="s">
        <v>0</v>
      </c>
      <c r="K95" s="30">
        <v>2</v>
      </c>
      <c r="L95" s="31" t="s">
        <v>20</v>
      </c>
    </row>
    <row r="96" spans="1:12" s="3" customFormat="1" ht="12.75" x14ac:dyDescent="0.2">
      <c r="A96" s="350"/>
      <c r="B96" s="351"/>
      <c r="C96" s="353"/>
      <c r="D96" s="356"/>
      <c r="E96" s="374"/>
      <c r="F96" s="374"/>
      <c r="G96" s="374"/>
      <c r="H96" s="374"/>
      <c r="I96" s="35" t="s">
        <v>71</v>
      </c>
      <c r="J96" s="36" t="s">
        <v>19</v>
      </c>
      <c r="K96" s="30">
        <v>1</v>
      </c>
      <c r="L96" s="31" t="s">
        <v>20</v>
      </c>
    </row>
    <row r="97" spans="1:12" s="3" customFormat="1" ht="15" customHeight="1" x14ac:dyDescent="0.2">
      <c r="A97" s="350"/>
      <c r="B97" s="351"/>
      <c r="C97" s="353"/>
      <c r="D97" s="356"/>
      <c r="E97" s="374"/>
      <c r="F97" s="374"/>
      <c r="G97" s="374"/>
      <c r="H97" s="374"/>
      <c r="I97" s="35" t="s">
        <v>56</v>
      </c>
      <c r="J97" s="36" t="s">
        <v>19</v>
      </c>
      <c r="K97" s="30">
        <v>1</v>
      </c>
      <c r="L97" s="31" t="s">
        <v>20</v>
      </c>
    </row>
    <row r="98" spans="1:12" s="3" customFormat="1" ht="12.75" x14ac:dyDescent="0.2">
      <c r="A98" s="350"/>
      <c r="B98" s="351"/>
      <c r="C98" s="353"/>
      <c r="D98" s="356"/>
      <c r="E98" s="374"/>
      <c r="F98" s="374"/>
      <c r="G98" s="374"/>
      <c r="H98" s="374"/>
      <c r="I98" s="35" t="s">
        <v>72</v>
      </c>
      <c r="J98" s="36" t="s">
        <v>19</v>
      </c>
      <c r="K98" s="30">
        <v>3</v>
      </c>
      <c r="L98" s="31" t="s">
        <v>20</v>
      </c>
    </row>
    <row r="99" spans="1:12" s="3" customFormat="1" ht="12.75" customHeight="1" x14ac:dyDescent="0.2">
      <c r="A99" s="349"/>
      <c r="B99" s="347"/>
      <c r="C99" s="354"/>
      <c r="D99" s="357"/>
      <c r="E99" s="367"/>
      <c r="F99" s="367"/>
      <c r="G99" s="367"/>
      <c r="H99" s="367"/>
      <c r="I99" s="35" t="s">
        <v>57</v>
      </c>
      <c r="J99" s="36" t="s">
        <v>19</v>
      </c>
      <c r="K99" s="30">
        <v>2</v>
      </c>
      <c r="L99" s="31" t="s">
        <v>20</v>
      </c>
    </row>
    <row r="100" spans="1:12" s="3" customFormat="1" ht="12.75" x14ac:dyDescent="0.2">
      <c r="A100" s="123">
        <f>36+1</f>
        <v>37</v>
      </c>
      <c r="B100" s="42" t="s">
        <v>69</v>
      </c>
      <c r="C100" s="41" t="s">
        <v>19</v>
      </c>
      <c r="D100" s="43">
        <v>1</v>
      </c>
      <c r="E100" s="68"/>
      <c r="F100" s="68"/>
      <c r="G100" s="68"/>
      <c r="H100" s="68"/>
      <c r="I100" s="35" t="s">
        <v>70</v>
      </c>
      <c r="J100" s="36" t="s">
        <v>19</v>
      </c>
      <c r="K100" s="30">
        <v>1</v>
      </c>
      <c r="L100" s="31" t="s">
        <v>20</v>
      </c>
    </row>
    <row r="101" spans="1:12" s="3" customFormat="1" ht="25.5" x14ac:dyDescent="0.2">
      <c r="A101" s="124">
        <f>37+1</f>
        <v>38</v>
      </c>
      <c r="B101" s="74" t="s">
        <v>21</v>
      </c>
      <c r="C101" s="37" t="s">
        <v>0</v>
      </c>
      <c r="D101" s="38">
        <v>60</v>
      </c>
      <c r="E101" s="75"/>
      <c r="F101" s="75"/>
      <c r="G101" s="75"/>
      <c r="H101" s="75"/>
      <c r="I101" s="28" t="s">
        <v>22</v>
      </c>
      <c r="J101" s="36" t="s">
        <v>0</v>
      </c>
      <c r="K101" s="30">
        <v>60</v>
      </c>
      <c r="L101" s="31" t="s">
        <v>20</v>
      </c>
    </row>
    <row r="102" spans="1:12" s="3" customFormat="1" ht="15" customHeight="1" x14ac:dyDescent="0.2">
      <c r="A102" s="343">
        <f>38+1</f>
        <v>39</v>
      </c>
      <c r="B102" s="342" t="s">
        <v>23</v>
      </c>
      <c r="C102" s="344" t="s">
        <v>0</v>
      </c>
      <c r="D102" s="345">
        <v>25.8</v>
      </c>
      <c r="E102" s="172"/>
      <c r="F102" s="172"/>
      <c r="G102" s="172"/>
      <c r="H102" s="172"/>
      <c r="I102" s="155" t="s">
        <v>114</v>
      </c>
      <c r="J102" s="36" t="s">
        <v>115</v>
      </c>
      <c r="K102" s="30">
        <v>1</v>
      </c>
      <c r="L102" s="156" t="s">
        <v>20</v>
      </c>
    </row>
    <row r="103" spans="1:12" s="3" customFormat="1" ht="25.5" x14ac:dyDescent="0.2">
      <c r="A103" s="343"/>
      <c r="B103" s="342"/>
      <c r="C103" s="344"/>
      <c r="D103" s="345"/>
      <c r="E103" s="49"/>
      <c r="F103" s="49"/>
      <c r="G103" s="49"/>
      <c r="H103" s="49"/>
      <c r="I103" s="155" t="s">
        <v>22</v>
      </c>
      <c r="J103" s="36" t="s">
        <v>0</v>
      </c>
      <c r="K103" s="30">
        <v>25.8</v>
      </c>
      <c r="L103" s="31" t="s">
        <v>20</v>
      </c>
    </row>
    <row r="104" spans="1:12" s="3" customFormat="1" ht="12.75" x14ac:dyDescent="0.2">
      <c r="A104" s="348">
        <f>39+1</f>
        <v>40</v>
      </c>
      <c r="B104" s="346" t="s">
        <v>24</v>
      </c>
      <c r="C104" s="352" t="s">
        <v>19</v>
      </c>
      <c r="D104" s="355">
        <v>2</v>
      </c>
      <c r="E104" s="366"/>
      <c r="F104" s="366"/>
      <c r="G104" s="366"/>
      <c r="H104" s="366"/>
      <c r="I104" s="40" t="s">
        <v>53</v>
      </c>
      <c r="J104" s="24" t="s">
        <v>19</v>
      </c>
      <c r="K104" s="27">
        <v>2</v>
      </c>
      <c r="L104" s="31" t="s">
        <v>20</v>
      </c>
    </row>
    <row r="105" spans="1:12" s="3" customFormat="1" ht="38.25" x14ac:dyDescent="0.2">
      <c r="A105" s="349"/>
      <c r="B105" s="347"/>
      <c r="C105" s="354"/>
      <c r="D105" s="357"/>
      <c r="E105" s="367"/>
      <c r="F105" s="367"/>
      <c r="G105" s="367"/>
      <c r="H105" s="367"/>
      <c r="I105" s="40" t="s">
        <v>52</v>
      </c>
      <c r="J105" s="24" t="s">
        <v>19</v>
      </c>
      <c r="K105" s="27">
        <v>2</v>
      </c>
      <c r="L105" s="31" t="s">
        <v>20</v>
      </c>
    </row>
    <row r="106" spans="1:12" s="3" customFormat="1" ht="38.25" x14ac:dyDescent="0.2">
      <c r="A106" s="343">
        <f>40+1</f>
        <v>41</v>
      </c>
      <c r="B106" s="342" t="s">
        <v>55</v>
      </c>
      <c r="C106" s="352" t="s">
        <v>19</v>
      </c>
      <c r="D106" s="355">
        <v>1</v>
      </c>
      <c r="E106" s="67"/>
      <c r="F106" s="67"/>
      <c r="G106" s="67"/>
      <c r="H106" s="67"/>
      <c r="I106" s="35" t="s">
        <v>54</v>
      </c>
      <c r="J106" s="36" t="s">
        <v>19</v>
      </c>
      <c r="K106" s="30">
        <v>1</v>
      </c>
      <c r="L106" s="31" t="s">
        <v>20</v>
      </c>
    </row>
    <row r="107" spans="1:12" s="3" customFormat="1" ht="12.75" x14ac:dyDescent="0.2">
      <c r="A107" s="343"/>
      <c r="B107" s="342"/>
      <c r="C107" s="354"/>
      <c r="D107" s="357"/>
      <c r="E107" s="45"/>
      <c r="F107" s="45"/>
      <c r="G107" s="45"/>
      <c r="H107" s="45"/>
      <c r="I107" s="35" t="s">
        <v>53</v>
      </c>
      <c r="J107" s="36" t="s">
        <v>19</v>
      </c>
      <c r="K107" s="30">
        <v>1</v>
      </c>
      <c r="L107" s="31" t="s">
        <v>20</v>
      </c>
    </row>
    <row r="108" spans="1:12" s="3" customFormat="1" ht="12.75" x14ac:dyDescent="0.2">
      <c r="A108" s="350">
        <f>41+1</f>
        <v>42</v>
      </c>
      <c r="B108" s="351" t="s">
        <v>60</v>
      </c>
      <c r="C108" s="41"/>
      <c r="D108" s="359">
        <v>21.1</v>
      </c>
      <c r="E108" s="44"/>
      <c r="F108" s="44"/>
      <c r="G108" s="44"/>
      <c r="H108" s="44"/>
      <c r="I108" s="28" t="s">
        <v>66</v>
      </c>
      <c r="J108" s="36" t="s">
        <v>19</v>
      </c>
      <c r="K108" s="30">
        <v>21.1</v>
      </c>
      <c r="L108" s="31" t="s">
        <v>20</v>
      </c>
    </row>
    <row r="109" spans="1:12" s="3" customFormat="1" ht="15" customHeight="1" x14ac:dyDescent="0.2">
      <c r="A109" s="350"/>
      <c r="B109" s="351"/>
      <c r="C109" s="41" t="s">
        <v>0</v>
      </c>
      <c r="D109" s="358"/>
      <c r="E109" s="44"/>
      <c r="F109" s="77"/>
      <c r="G109" s="77"/>
      <c r="H109" s="77"/>
      <c r="I109" s="165" t="s">
        <v>25</v>
      </c>
      <c r="J109" s="24" t="s">
        <v>0</v>
      </c>
      <c r="K109" s="27">
        <v>21.1</v>
      </c>
      <c r="L109" s="25" t="s">
        <v>20</v>
      </c>
    </row>
    <row r="110" spans="1:12" s="3" customFormat="1" ht="15" customHeight="1" x14ac:dyDescent="0.2">
      <c r="A110" s="343">
        <f>42+1</f>
        <v>43</v>
      </c>
      <c r="B110" s="342" t="s">
        <v>59</v>
      </c>
      <c r="C110" s="344" t="s">
        <v>0</v>
      </c>
      <c r="D110" s="345">
        <v>4.5999999999999996</v>
      </c>
      <c r="E110" s="34"/>
      <c r="F110" s="172"/>
      <c r="G110" s="172"/>
      <c r="H110" s="172"/>
      <c r="I110" s="155" t="s">
        <v>114</v>
      </c>
      <c r="J110" s="24" t="s">
        <v>115</v>
      </c>
      <c r="K110" s="27">
        <v>1</v>
      </c>
      <c r="L110" s="161" t="s">
        <v>20</v>
      </c>
    </row>
    <row r="111" spans="1:12" s="3" customFormat="1" ht="12.75" customHeight="1" x14ac:dyDescent="0.2">
      <c r="A111" s="343"/>
      <c r="B111" s="342"/>
      <c r="C111" s="344"/>
      <c r="D111" s="345"/>
      <c r="E111" s="49"/>
      <c r="F111" s="49"/>
      <c r="G111" s="49"/>
      <c r="H111" s="49"/>
      <c r="I111" s="155" t="s">
        <v>25</v>
      </c>
      <c r="J111" s="36" t="s">
        <v>0</v>
      </c>
      <c r="K111" s="30">
        <v>4.5999999999999996</v>
      </c>
      <c r="L111" s="31" t="s">
        <v>20</v>
      </c>
    </row>
    <row r="112" spans="1:12" s="3" customFormat="1" ht="12.75" x14ac:dyDescent="0.2">
      <c r="A112" s="343"/>
      <c r="B112" s="342"/>
      <c r="C112" s="344"/>
      <c r="D112" s="345"/>
      <c r="E112" s="49"/>
      <c r="F112" s="49"/>
      <c r="G112" s="49"/>
      <c r="H112" s="49"/>
      <c r="I112" s="155" t="s">
        <v>66</v>
      </c>
      <c r="J112" s="36" t="s">
        <v>19</v>
      </c>
      <c r="K112" s="30">
        <v>4.5999999999999996</v>
      </c>
      <c r="L112" s="31" t="s">
        <v>20</v>
      </c>
    </row>
    <row r="113" spans="1:12" s="3" customFormat="1" ht="15.75" x14ac:dyDescent="0.2">
      <c r="A113" s="158">
        <f>43+1</f>
        <v>44</v>
      </c>
      <c r="B113" s="80" t="s">
        <v>58</v>
      </c>
      <c r="C113" s="156" t="s">
        <v>0</v>
      </c>
      <c r="D113" s="157">
        <v>19.2</v>
      </c>
      <c r="E113" s="49"/>
      <c r="F113" s="49"/>
      <c r="G113" s="49"/>
      <c r="H113" s="49"/>
      <c r="I113" s="26" t="s">
        <v>25</v>
      </c>
      <c r="J113" s="24" t="s">
        <v>0</v>
      </c>
      <c r="K113" s="27">
        <v>19.2</v>
      </c>
      <c r="L113" s="31" t="s">
        <v>20</v>
      </c>
    </row>
    <row r="114" spans="1:12" s="3" customFormat="1" ht="12.75" x14ac:dyDescent="0.2">
      <c r="A114" s="343">
        <f>44+1</f>
        <v>45</v>
      </c>
      <c r="B114" s="342" t="s">
        <v>61</v>
      </c>
      <c r="C114" s="344" t="s">
        <v>19</v>
      </c>
      <c r="D114" s="345">
        <v>7</v>
      </c>
      <c r="E114" s="49"/>
      <c r="F114" s="49"/>
      <c r="G114" s="49"/>
      <c r="H114" s="49"/>
      <c r="I114" s="26" t="s">
        <v>62</v>
      </c>
      <c r="J114" s="24" t="s">
        <v>19</v>
      </c>
      <c r="K114" s="27">
        <v>7</v>
      </c>
      <c r="L114" s="31" t="s">
        <v>20</v>
      </c>
    </row>
    <row r="115" spans="1:12" s="3" customFormat="1" ht="12.75" x14ac:dyDescent="0.2">
      <c r="A115" s="343"/>
      <c r="B115" s="342"/>
      <c r="C115" s="344"/>
      <c r="D115" s="345"/>
      <c r="E115" s="49"/>
      <c r="F115" s="49"/>
      <c r="G115" s="49"/>
      <c r="H115" s="49"/>
      <c r="I115" s="26" t="s">
        <v>63</v>
      </c>
      <c r="J115" s="24" t="s">
        <v>19</v>
      </c>
      <c r="K115" s="27">
        <v>7</v>
      </c>
      <c r="L115" s="31" t="s">
        <v>20</v>
      </c>
    </row>
    <row r="116" spans="1:12" s="3" customFormat="1" ht="15.75" x14ac:dyDescent="0.25">
      <c r="A116" s="126"/>
      <c r="B116" s="92" t="s">
        <v>73</v>
      </c>
      <c r="C116" s="19"/>
      <c r="D116" s="21"/>
      <c r="E116" s="19"/>
      <c r="F116" s="19"/>
      <c r="G116" s="19"/>
      <c r="H116" s="32"/>
      <c r="I116" s="19"/>
      <c r="J116" s="19"/>
      <c r="K116" s="23"/>
      <c r="L116" s="19"/>
    </row>
    <row r="117" spans="1:12" s="3" customFormat="1" ht="12.75" x14ac:dyDescent="0.2">
      <c r="A117" s="125">
        <f>45+1</f>
        <v>46</v>
      </c>
      <c r="B117" s="28" t="s">
        <v>48</v>
      </c>
      <c r="C117" s="31" t="s">
        <v>19</v>
      </c>
      <c r="D117" s="33">
        <v>3</v>
      </c>
      <c r="E117" s="34"/>
      <c r="F117" s="34"/>
      <c r="G117" s="34"/>
      <c r="H117" s="34"/>
      <c r="I117" s="35"/>
      <c r="J117" s="36"/>
      <c r="K117" s="30"/>
      <c r="L117" s="31" t="s">
        <v>20</v>
      </c>
    </row>
    <row r="118" spans="1:12" s="3" customFormat="1" ht="12.75" x14ac:dyDescent="0.2">
      <c r="A118" s="368">
        <f>46+1</f>
        <v>47</v>
      </c>
      <c r="B118" s="371" t="s">
        <v>111</v>
      </c>
      <c r="C118" s="382" t="s">
        <v>0</v>
      </c>
      <c r="D118" s="385">
        <v>2</v>
      </c>
      <c r="E118" s="146"/>
      <c r="F118" s="146"/>
      <c r="G118" s="146"/>
      <c r="H118" s="146"/>
      <c r="I118" s="147" t="s">
        <v>26</v>
      </c>
      <c r="J118" s="148" t="s">
        <v>0</v>
      </c>
      <c r="K118" s="30">
        <v>3</v>
      </c>
      <c r="L118" s="149" t="s">
        <v>20</v>
      </c>
    </row>
    <row r="119" spans="1:12" s="3" customFormat="1" ht="12.75" x14ac:dyDescent="0.2">
      <c r="A119" s="369"/>
      <c r="B119" s="372"/>
      <c r="C119" s="383"/>
      <c r="D119" s="386"/>
      <c r="E119" s="150"/>
      <c r="F119" s="150"/>
      <c r="G119" s="150"/>
      <c r="H119" s="150"/>
      <c r="I119" s="147" t="s">
        <v>32</v>
      </c>
      <c r="J119" s="148" t="s">
        <v>33</v>
      </c>
      <c r="K119" s="30">
        <v>12</v>
      </c>
      <c r="L119" s="149" t="s">
        <v>20</v>
      </c>
    </row>
    <row r="120" spans="1:12" s="3" customFormat="1" ht="12.75" x14ac:dyDescent="0.2">
      <c r="A120" s="369"/>
      <c r="B120" s="372"/>
      <c r="C120" s="383"/>
      <c r="D120" s="386"/>
      <c r="E120" s="150"/>
      <c r="F120" s="150"/>
      <c r="G120" s="150"/>
      <c r="H120" s="150"/>
      <c r="I120" s="147" t="s">
        <v>27</v>
      </c>
      <c r="J120" s="148" t="s">
        <v>19</v>
      </c>
      <c r="K120" s="30">
        <v>12</v>
      </c>
      <c r="L120" s="149" t="s">
        <v>20</v>
      </c>
    </row>
    <row r="121" spans="1:12" s="3" customFormat="1" ht="12.75" x14ac:dyDescent="0.2">
      <c r="A121" s="370"/>
      <c r="B121" s="373"/>
      <c r="C121" s="384"/>
      <c r="D121" s="387"/>
      <c r="E121" s="152"/>
      <c r="F121" s="152"/>
      <c r="G121" s="152"/>
      <c r="H121" s="152"/>
      <c r="I121" s="147"/>
      <c r="J121" s="148"/>
      <c r="K121" s="30"/>
      <c r="L121" s="149"/>
    </row>
    <row r="122" spans="1:12" s="3" customFormat="1" ht="12.75" x14ac:dyDescent="0.2">
      <c r="A122" s="348">
        <f>47+1</f>
        <v>48</v>
      </c>
      <c r="B122" s="346" t="s">
        <v>60</v>
      </c>
      <c r="C122" s="41"/>
      <c r="D122" s="359">
        <v>21.1</v>
      </c>
      <c r="E122" s="44"/>
      <c r="F122" s="44"/>
      <c r="G122" s="44"/>
      <c r="H122" s="44"/>
      <c r="I122" s="28" t="s">
        <v>66</v>
      </c>
      <c r="J122" s="36" t="s">
        <v>19</v>
      </c>
      <c r="K122" s="30">
        <v>21.1</v>
      </c>
      <c r="L122" s="31" t="s">
        <v>20</v>
      </c>
    </row>
    <row r="123" spans="1:12" s="3" customFormat="1" ht="18" customHeight="1" x14ac:dyDescent="0.2">
      <c r="A123" s="350"/>
      <c r="B123" s="351"/>
      <c r="C123" s="41" t="s">
        <v>0</v>
      </c>
      <c r="D123" s="358"/>
      <c r="E123" s="44"/>
      <c r="F123" s="77"/>
      <c r="G123" s="77"/>
      <c r="H123" s="77"/>
      <c r="I123" s="26" t="s">
        <v>25</v>
      </c>
      <c r="J123" s="24" t="s">
        <v>0</v>
      </c>
      <c r="K123" s="27">
        <v>21.1</v>
      </c>
      <c r="L123" s="25" t="s">
        <v>20</v>
      </c>
    </row>
    <row r="124" spans="1:12" s="3" customFormat="1" ht="16.5" customHeight="1" x14ac:dyDescent="0.2">
      <c r="A124" s="343">
        <f>48+1</f>
        <v>49</v>
      </c>
      <c r="B124" s="342" t="s">
        <v>59</v>
      </c>
      <c r="C124" s="344" t="s">
        <v>0</v>
      </c>
      <c r="D124" s="345">
        <v>4.0999999999999996</v>
      </c>
      <c r="E124" s="34"/>
      <c r="F124" s="172"/>
      <c r="G124" s="172"/>
      <c r="H124" s="172"/>
      <c r="I124" s="159" t="s">
        <v>114</v>
      </c>
      <c r="J124" s="24" t="s">
        <v>115</v>
      </c>
      <c r="K124" s="27">
        <v>1</v>
      </c>
      <c r="L124" s="161" t="s">
        <v>20</v>
      </c>
    </row>
    <row r="125" spans="1:12" s="3" customFormat="1" ht="12.75" customHeight="1" x14ac:dyDescent="0.2">
      <c r="A125" s="343"/>
      <c r="B125" s="342"/>
      <c r="C125" s="344"/>
      <c r="D125" s="345"/>
      <c r="E125" s="49"/>
      <c r="F125" s="49"/>
      <c r="G125" s="49"/>
      <c r="H125" s="49"/>
      <c r="I125" s="28" t="s">
        <v>25</v>
      </c>
      <c r="J125" s="36" t="s">
        <v>0</v>
      </c>
      <c r="K125" s="30">
        <v>4.0999999999999996</v>
      </c>
      <c r="L125" s="31" t="s">
        <v>20</v>
      </c>
    </row>
    <row r="126" spans="1:12" s="3" customFormat="1" ht="12.75" x14ac:dyDescent="0.2">
      <c r="A126" s="343"/>
      <c r="B126" s="342"/>
      <c r="C126" s="344"/>
      <c r="D126" s="345"/>
      <c r="E126" s="49"/>
      <c r="F126" s="49"/>
      <c r="G126" s="49"/>
      <c r="H126" s="49"/>
      <c r="I126" s="28" t="s">
        <v>66</v>
      </c>
      <c r="J126" s="36" t="s">
        <v>19</v>
      </c>
      <c r="K126" s="30">
        <v>4.0999999999999996</v>
      </c>
      <c r="L126" s="31" t="s">
        <v>20</v>
      </c>
    </row>
    <row r="127" spans="1:12" s="3" customFormat="1" ht="15.75" x14ac:dyDescent="0.2">
      <c r="A127" s="158">
        <f>49+1</f>
        <v>50</v>
      </c>
      <c r="B127" s="171" t="s">
        <v>58</v>
      </c>
      <c r="C127" s="161" t="s">
        <v>0</v>
      </c>
      <c r="D127" s="164">
        <v>4</v>
      </c>
      <c r="E127" s="72"/>
      <c r="F127" s="72"/>
      <c r="G127" s="72"/>
      <c r="H127" s="72"/>
      <c r="I127" s="26" t="s">
        <v>25</v>
      </c>
      <c r="J127" s="24" t="s">
        <v>0</v>
      </c>
      <c r="K127" s="27">
        <v>4</v>
      </c>
      <c r="L127" s="31" t="s">
        <v>20</v>
      </c>
    </row>
    <row r="128" spans="1:12" s="3" customFormat="1" ht="12.75" x14ac:dyDescent="0.2">
      <c r="A128" s="343">
        <f>50+1</f>
        <v>51</v>
      </c>
      <c r="B128" s="342" t="s">
        <v>61</v>
      </c>
      <c r="C128" s="344" t="s">
        <v>19</v>
      </c>
      <c r="D128" s="345">
        <v>1</v>
      </c>
      <c r="E128" s="72"/>
      <c r="F128" s="72"/>
      <c r="G128" s="72"/>
      <c r="H128" s="72"/>
      <c r="I128" s="26" t="s">
        <v>62</v>
      </c>
      <c r="J128" s="24" t="s">
        <v>19</v>
      </c>
      <c r="K128" s="27">
        <v>1</v>
      </c>
      <c r="L128" s="31" t="s">
        <v>20</v>
      </c>
    </row>
    <row r="129" spans="1:13" s="3" customFormat="1" ht="12.75" x14ac:dyDescent="0.2">
      <c r="A129" s="343"/>
      <c r="B129" s="342"/>
      <c r="C129" s="344"/>
      <c r="D129" s="345"/>
      <c r="E129" s="72"/>
      <c r="F129" s="72"/>
      <c r="G129" s="72"/>
      <c r="H129" s="72"/>
      <c r="I129" s="26" t="s">
        <v>63</v>
      </c>
      <c r="J129" s="24" t="s">
        <v>19</v>
      </c>
      <c r="K129" s="27">
        <v>1</v>
      </c>
      <c r="L129" s="31" t="s">
        <v>20</v>
      </c>
    </row>
    <row r="130" spans="1:13" s="109" customFormat="1" ht="12.75" customHeight="1" x14ac:dyDescent="0.2">
      <c r="A130" s="348">
        <f>51+1</f>
        <v>52</v>
      </c>
      <c r="B130" s="346" t="s">
        <v>100</v>
      </c>
      <c r="C130" s="352" t="s">
        <v>19</v>
      </c>
      <c r="D130" s="355">
        <v>1</v>
      </c>
      <c r="E130" s="122"/>
      <c r="F130" s="118"/>
      <c r="G130" s="118"/>
      <c r="H130" s="118"/>
      <c r="I130" s="119" t="s">
        <v>109</v>
      </c>
      <c r="J130" s="120" t="s">
        <v>19</v>
      </c>
      <c r="K130" s="27">
        <v>1</v>
      </c>
      <c r="L130" s="135" t="s">
        <v>105</v>
      </c>
      <c r="M130" s="109" t="s">
        <v>110</v>
      </c>
    </row>
    <row r="131" spans="1:13" s="109" customFormat="1" ht="12.75" x14ac:dyDescent="0.2">
      <c r="A131" s="350"/>
      <c r="B131" s="351"/>
      <c r="C131" s="353"/>
      <c r="D131" s="356"/>
      <c r="E131" s="122"/>
      <c r="F131" s="118"/>
      <c r="G131" s="118"/>
      <c r="H131" s="118"/>
      <c r="I131" s="113" t="s">
        <v>92</v>
      </c>
      <c r="J131" s="121" t="s">
        <v>19</v>
      </c>
      <c r="K131" s="27">
        <v>5</v>
      </c>
      <c r="L131" s="135" t="s">
        <v>105</v>
      </c>
    </row>
    <row r="132" spans="1:13" s="109" customFormat="1" ht="25.5" x14ac:dyDescent="0.2">
      <c r="A132" s="350"/>
      <c r="B132" s="351"/>
      <c r="C132" s="353"/>
      <c r="D132" s="356"/>
      <c r="E132" s="122"/>
      <c r="F132" s="118"/>
      <c r="G132" s="118"/>
      <c r="H132" s="118"/>
      <c r="I132" s="115" t="s">
        <v>93</v>
      </c>
      <c r="J132" s="29" t="s">
        <v>19</v>
      </c>
      <c r="K132" s="27">
        <v>2</v>
      </c>
      <c r="L132" s="135" t="s">
        <v>108</v>
      </c>
    </row>
    <row r="133" spans="1:13" s="109" customFormat="1" ht="12.75" x14ac:dyDescent="0.2">
      <c r="A133" s="350"/>
      <c r="B133" s="351"/>
      <c r="C133" s="353"/>
      <c r="D133" s="356"/>
      <c r="E133" s="122"/>
      <c r="F133" s="118"/>
      <c r="G133" s="118"/>
      <c r="H133" s="118"/>
      <c r="I133" s="115" t="s">
        <v>94</v>
      </c>
      <c r="J133" s="29" t="s">
        <v>19</v>
      </c>
      <c r="K133" s="27">
        <v>99</v>
      </c>
      <c r="L133" s="135" t="s">
        <v>20</v>
      </c>
    </row>
    <row r="134" spans="1:13" s="109" customFormat="1" ht="25.5" x14ac:dyDescent="0.2">
      <c r="A134" s="350"/>
      <c r="B134" s="351"/>
      <c r="C134" s="353"/>
      <c r="D134" s="356"/>
      <c r="E134" s="122"/>
      <c r="F134" s="118"/>
      <c r="G134" s="118"/>
      <c r="H134" s="118"/>
      <c r="I134" s="115" t="s">
        <v>95</v>
      </c>
      <c r="J134" s="29" t="s">
        <v>19</v>
      </c>
      <c r="K134" s="27">
        <v>1</v>
      </c>
      <c r="L134" s="135" t="s">
        <v>108</v>
      </c>
    </row>
    <row r="135" spans="1:13" s="109" customFormat="1" ht="25.5" x14ac:dyDescent="0.2">
      <c r="A135" s="350"/>
      <c r="B135" s="351"/>
      <c r="C135" s="353"/>
      <c r="D135" s="356"/>
      <c r="E135" s="122"/>
      <c r="F135" s="118"/>
      <c r="G135" s="118"/>
      <c r="H135" s="118"/>
      <c r="I135" s="115" t="s">
        <v>96</v>
      </c>
      <c r="J135" s="29" t="s">
        <v>19</v>
      </c>
      <c r="K135" s="27">
        <v>1</v>
      </c>
      <c r="L135" s="135" t="s">
        <v>108</v>
      </c>
    </row>
    <row r="136" spans="1:13" s="109" customFormat="1" ht="38.25" x14ac:dyDescent="0.2">
      <c r="A136" s="350"/>
      <c r="B136" s="351"/>
      <c r="C136" s="353"/>
      <c r="D136" s="356"/>
      <c r="E136" s="122"/>
      <c r="F136" s="118"/>
      <c r="G136" s="118"/>
      <c r="H136" s="118"/>
      <c r="I136" s="115" t="s">
        <v>97</v>
      </c>
      <c r="J136" s="29" t="s">
        <v>19</v>
      </c>
      <c r="K136" s="27">
        <v>1</v>
      </c>
      <c r="L136" s="135" t="s">
        <v>20</v>
      </c>
    </row>
    <row r="137" spans="1:13" s="109" customFormat="1" ht="12.75" x14ac:dyDescent="0.2">
      <c r="A137" s="350"/>
      <c r="B137" s="351"/>
      <c r="C137" s="353"/>
      <c r="D137" s="356"/>
      <c r="E137" s="122"/>
      <c r="F137" s="118"/>
      <c r="G137" s="118"/>
      <c r="H137" s="118"/>
      <c r="I137" s="115" t="s">
        <v>102</v>
      </c>
      <c r="J137" s="29" t="s">
        <v>19</v>
      </c>
      <c r="K137" s="27">
        <v>1</v>
      </c>
      <c r="L137" s="135" t="s">
        <v>105</v>
      </c>
    </row>
    <row r="138" spans="1:13" s="109" customFormat="1" ht="25.5" x14ac:dyDescent="0.2">
      <c r="A138" s="350"/>
      <c r="B138" s="351"/>
      <c r="C138" s="353"/>
      <c r="D138" s="356"/>
      <c r="E138" s="122"/>
      <c r="F138" s="118"/>
      <c r="G138" s="118"/>
      <c r="H138" s="118"/>
      <c r="I138" s="115" t="s">
        <v>98</v>
      </c>
      <c r="J138" s="29" t="s">
        <v>19</v>
      </c>
      <c r="K138" s="27">
        <v>1</v>
      </c>
      <c r="L138" s="135" t="s">
        <v>20</v>
      </c>
    </row>
    <row r="139" spans="1:13" s="109" customFormat="1" ht="12.75" x14ac:dyDescent="0.2">
      <c r="A139" s="350"/>
      <c r="B139" s="351"/>
      <c r="C139" s="353"/>
      <c r="D139" s="356"/>
      <c r="E139" s="122"/>
      <c r="F139" s="118"/>
      <c r="G139" s="118"/>
      <c r="H139" s="118"/>
      <c r="I139" s="91"/>
      <c r="J139" s="29"/>
      <c r="K139" s="101"/>
      <c r="L139" s="24"/>
    </row>
    <row r="140" spans="1:13" s="109" customFormat="1" ht="12.75" x14ac:dyDescent="0.2">
      <c r="A140" s="350"/>
      <c r="B140" s="351"/>
      <c r="C140" s="353"/>
      <c r="D140" s="356"/>
      <c r="E140" s="122"/>
      <c r="F140" s="118"/>
      <c r="G140" s="118"/>
      <c r="H140" s="118"/>
      <c r="I140" s="91"/>
      <c r="J140" s="29"/>
      <c r="K140" s="101"/>
      <c r="L140" s="24"/>
    </row>
    <row r="141" spans="1:13" s="3" customFormat="1" ht="12.75" x14ac:dyDescent="0.2">
      <c r="A141" s="349"/>
      <c r="B141" s="347"/>
      <c r="C141" s="354"/>
      <c r="D141" s="357"/>
      <c r="E141" s="49"/>
      <c r="F141" s="49"/>
      <c r="G141" s="49"/>
      <c r="H141" s="49"/>
      <c r="I141" s="91"/>
      <c r="J141" s="29"/>
      <c r="K141" s="101"/>
      <c r="L141" s="24"/>
    </row>
    <row r="142" spans="1:13" s="3" customFormat="1" ht="15.75" x14ac:dyDescent="0.25">
      <c r="A142" s="126"/>
      <c r="B142" s="78" t="s">
        <v>74</v>
      </c>
      <c r="C142" s="19"/>
      <c r="D142" s="21"/>
      <c r="E142" s="19"/>
      <c r="F142" s="19"/>
      <c r="G142" s="19"/>
      <c r="H142" s="32"/>
      <c r="I142" s="19"/>
      <c r="J142" s="19"/>
      <c r="K142" s="23"/>
      <c r="L142" s="19"/>
    </row>
    <row r="143" spans="1:13" s="3" customFormat="1" ht="19.5" customHeight="1" x14ac:dyDescent="0.2">
      <c r="A143" s="125">
        <f>52+1</f>
        <v>53</v>
      </c>
      <c r="B143" s="28" t="s">
        <v>48</v>
      </c>
      <c r="C143" s="31" t="s">
        <v>19</v>
      </c>
      <c r="D143" s="33">
        <v>2</v>
      </c>
      <c r="E143" s="34"/>
      <c r="F143" s="34"/>
      <c r="G143" s="34"/>
      <c r="H143" s="34"/>
      <c r="I143" s="35"/>
      <c r="J143" s="36"/>
      <c r="K143" s="30"/>
      <c r="L143" s="31" t="s">
        <v>20</v>
      </c>
    </row>
    <row r="144" spans="1:13" s="3" customFormat="1" ht="21.75" customHeight="1" x14ac:dyDescent="0.2">
      <c r="A144" s="348">
        <f>53+1</f>
        <v>54</v>
      </c>
      <c r="B144" s="346" t="s">
        <v>50</v>
      </c>
      <c r="C144" s="352" t="s">
        <v>0</v>
      </c>
      <c r="D144" s="355">
        <v>4</v>
      </c>
      <c r="E144" s="366"/>
      <c r="F144" s="366"/>
      <c r="G144" s="366"/>
      <c r="H144" s="366"/>
      <c r="I144" s="35" t="s">
        <v>51</v>
      </c>
      <c r="J144" s="36" t="s">
        <v>0</v>
      </c>
      <c r="K144" s="30">
        <v>4</v>
      </c>
      <c r="L144" s="31" t="s">
        <v>20</v>
      </c>
    </row>
    <row r="145" spans="1:12" s="3" customFormat="1" ht="25.5" x14ac:dyDescent="0.2">
      <c r="A145" s="350"/>
      <c r="B145" s="351"/>
      <c r="C145" s="353"/>
      <c r="D145" s="356"/>
      <c r="E145" s="374"/>
      <c r="F145" s="374"/>
      <c r="G145" s="374"/>
      <c r="H145" s="374"/>
      <c r="I145" s="35" t="s">
        <v>56</v>
      </c>
      <c r="J145" s="36" t="s">
        <v>19</v>
      </c>
      <c r="K145" s="30">
        <v>1</v>
      </c>
      <c r="L145" s="31" t="s">
        <v>20</v>
      </c>
    </row>
    <row r="146" spans="1:12" s="3" customFormat="1" ht="12.75" x14ac:dyDescent="0.2">
      <c r="A146" s="350"/>
      <c r="B146" s="351"/>
      <c r="C146" s="353"/>
      <c r="D146" s="356"/>
      <c r="E146" s="374"/>
      <c r="F146" s="374"/>
      <c r="G146" s="374"/>
      <c r="H146" s="374"/>
      <c r="I146" s="35" t="s">
        <v>71</v>
      </c>
      <c r="J146" s="36" t="s">
        <v>19</v>
      </c>
      <c r="K146" s="30">
        <v>1</v>
      </c>
      <c r="L146" s="31" t="s">
        <v>20</v>
      </c>
    </row>
    <row r="147" spans="1:12" s="3" customFormat="1" ht="12.75" x14ac:dyDescent="0.2">
      <c r="A147" s="349"/>
      <c r="B147" s="347"/>
      <c r="C147" s="354"/>
      <c r="D147" s="357"/>
      <c r="E147" s="367"/>
      <c r="F147" s="367"/>
      <c r="G147" s="367"/>
      <c r="H147" s="367"/>
      <c r="I147" s="35" t="s">
        <v>57</v>
      </c>
      <c r="J147" s="36" t="s">
        <v>19</v>
      </c>
      <c r="K147" s="30">
        <v>1</v>
      </c>
      <c r="L147" s="31" t="s">
        <v>20</v>
      </c>
    </row>
    <row r="148" spans="1:12" s="3" customFormat="1" ht="12.75" x14ac:dyDescent="0.2">
      <c r="A148" s="123">
        <f>53+1+1</f>
        <v>55</v>
      </c>
      <c r="B148" s="86" t="s">
        <v>69</v>
      </c>
      <c r="C148" s="85" t="s">
        <v>19</v>
      </c>
      <c r="D148" s="90">
        <v>1</v>
      </c>
      <c r="E148" s="89"/>
      <c r="F148" s="89"/>
      <c r="G148" s="89"/>
      <c r="H148" s="89"/>
      <c r="I148" s="35" t="s">
        <v>70</v>
      </c>
      <c r="J148" s="36" t="s">
        <v>19</v>
      </c>
      <c r="K148" s="30">
        <v>1</v>
      </c>
      <c r="L148" s="31" t="s">
        <v>20</v>
      </c>
    </row>
    <row r="149" spans="1:12" s="3" customFormat="1" ht="25.5" x14ac:dyDescent="0.2">
      <c r="A149" s="124">
        <f>54+1+1</f>
        <v>56</v>
      </c>
      <c r="B149" s="74" t="s">
        <v>21</v>
      </c>
      <c r="C149" s="82" t="s">
        <v>0</v>
      </c>
      <c r="D149" s="84">
        <v>29</v>
      </c>
      <c r="E149" s="75"/>
      <c r="F149" s="75"/>
      <c r="G149" s="75"/>
      <c r="H149" s="75"/>
      <c r="I149" s="28" t="s">
        <v>22</v>
      </c>
      <c r="J149" s="36" t="s">
        <v>0</v>
      </c>
      <c r="K149" s="30">
        <v>29</v>
      </c>
      <c r="L149" s="31" t="s">
        <v>20</v>
      </c>
    </row>
    <row r="150" spans="1:12" s="3" customFormat="1" ht="15" customHeight="1" x14ac:dyDescent="0.2">
      <c r="A150" s="348">
        <f>55+1+1</f>
        <v>57</v>
      </c>
      <c r="B150" s="346" t="s">
        <v>23</v>
      </c>
      <c r="C150" s="160"/>
      <c r="D150" s="163"/>
      <c r="E150" s="75"/>
      <c r="F150" s="75"/>
      <c r="G150" s="75"/>
      <c r="H150" s="75"/>
      <c r="I150" s="155" t="s">
        <v>114</v>
      </c>
      <c r="J150" s="36" t="s">
        <v>115</v>
      </c>
      <c r="K150" s="30">
        <v>1</v>
      </c>
      <c r="L150" s="156" t="s">
        <v>20</v>
      </c>
    </row>
    <row r="151" spans="1:12" s="3" customFormat="1" ht="25.5" x14ac:dyDescent="0.2">
      <c r="A151" s="349"/>
      <c r="B151" s="347"/>
      <c r="C151" s="82" t="s">
        <v>0</v>
      </c>
      <c r="D151" s="84">
        <v>15.5</v>
      </c>
      <c r="E151" s="39"/>
      <c r="F151" s="39"/>
      <c r="G151" s="39"/>
      <c r="H151" s="39"/>
      <c r="I151" s="28" t="s">
        <v>22</v>
      </c>
      <c r="J151" s="36" t="s">
        <v>0</v>
      </c>
      <c r="K151" s="30">
        <v>15.5</v>
      </c>
      <c r="L151" s="31" t="s">
        <v>20</v>
      </c>
    </row>
    <row r="152" spans="1:12" s="3" customFormat="1" ht="12.75" x14ac:dyDescent="0.2">
      <c r="A152" s="348">
        <f>56+1+1</f>
        <v>58</v>
      </c>
      <c r="B152" s="346" t="s">
        <v>24</v>
      </c>
      <c r="C152" s="352" t="s">
        <v>19</v>
      </c>
      <c r="D152" s="355">
        <v>1</v>
      </c>
      <c r="E152" s="366"/>
      <c r="F152" s="366"/>
      <c r="G152" s="366"/>
      <c r="H152" s="366"/>
      <c r="I152" s="40" t="s">
        <v>53</v>
      </c>
      <c r="J152" s="24" t="s">
        <v>19</v>
      </c>
      <c r="K152" s="27">
        <v>1</v>
      </c>
      <c r="L152" s="31" t="s">
        <v>20</v>
      </c>
    </row>
    <row r="153" spans="1:12" s="3" customFormat="1" ht="38.25" x14ac:dyDescent="0.2">
      <c r="A153" s="349"/>
      <c r="B153" s="347"/>
      <c r="C153" s="354"/>
      <c r="D153" s="357"/>
      <c r="E153" s="367"/>
      <c r="F153" s="367"/>
      <c r="G153" s="367"/>
      <c r="H153" s="367"/>
      <c r="I153" s="40" t="s">
        <v>52</v>
      </c>
      <c r="J153" s="24" t="s">
        <v>19</v>
      </c>
      <c r="K153" s="27">
        <v>1</v>
      </c>
      <c r="L153" s="31" t="s">
        <v>20</v>
      </c>
    </row>
    <row r="154" spans="1:12" s="3" customFormat="1" ht="38.25" x14ac:dyDescent="0.2">
      <c r="A154" s="348">
        <f>57+1+1</f>
        <v>59</v>
      </c>
      <c r="B154" s="346" t="s">
        <v>55</v>
      </c>
      <c r="C154" s="352" t="s">
        <v>19</v>
      </c>
      <c r="D154" s="355">
        <v>1</v>
      </c>
      <c r="E154" s="88"/>
      <c r="F154" s="88"/>
      <c r="G154" s="88"/>
      <c r="H154" s="88"/>
      <c r="I154" s="35" t="s">
        <v>54</v>
      </c>
      <c r="J154" s="36" t="s">
        <v>19</v>
      </c>
      <c r="K154" s="30">
        <v>1</v>
      </c>
      <c r="L154" s="31" t="s">
        <v>20</v>
      </c>
    </row>
    <row r="155" spans="1:12" s="3" customFormat="1" ht="12.75" x14ac:dyDescent="0.2">
      <c r="A155" s="349"/>
      <c r="B155" s="347"/>
      <c r="C155" s="354"/>
      <c r="D155" s="357"/>
      <c r="E155" s="45"/>
      <c r="F155" s="45"/>
      <c r="G155" s="45"/>
      <c r="H155" s="45"/>
      <c r="I155" s="35" t="s">
        <v>53</v>
      </c>
      <c r="J155" s="36" t="s">
        <v>19</v>
      </c>
      <c r="K155" s="30">
        <v>1</v>
      </c>
      <c r="L155" s="31" t="s">
        <v>20</v>
      </c>
    </row>
    <row r="156" spans="1:12" s="3" customFormat="1" ht="16.5" customHeight="1" x14ac:dyDescent="0.2">
      <c r="A156" s="343">
        <f>58+1+1</f>
        <v>60</v>
      </c>
      <c r="B156" s="342" t="s">
        <v>59</v>
      </c>
      <c r="C156" s="344" t="s">
        <v>0</v>
      </c>
      <c r="D156" s="345">
        <v>0.6</v>
      </c>
      <c r="E156" s="34"/>
      <c r="F156" s="34"/>
      <c r="G156" s="34"/>
      <c r="H156" s="34"/>
      <c r="I156" s="35" t="s">
        <v>114</v>
      </c>
      <c r="J156" s="36" t="s">
        <v>115</v>
      </c>
      <c r="K156" s="30">
        <v>1</v>
      </c>
      <c r="L156" s="156" t="s">
        <v>20</v>
      </c>
    </row>
    <row r="157" spans="1:12" s="3" customFormat="1" ht="12.75" customHeight="1" x14ac:dyDescent="0.2">
      <c r="A157" s="343"/>
      <c r="B157" s="342"/>
      <c r="C157" s="344"/>
      <c r="D157" s="345"/>
      <c r="E157" s="49"/>
      <c r="F157" s="49"/>
      <c r="G157" s="49"/>
      <c r="H157" s="49"/>
      <c r="I157" s="28" t="s">
        <v>25</v>
      </c>
      <c r="J157" s="36" t="s">
        <v>0</v>
      </c>
      <c r="K157" s="30">
        <v>0.6</v>
      </c>
      <c r="L157" s="31" t="s">
        <v>20</v>
      </c>
    </row>
    <row r="158" spans="1:12" s="3" customFormat="1" ht="12.75" x14ac:dyDescent="0.2">
      <c r="A158" s="343"/>
      <c r="B158" s="342"/>
      <c r="C158" s="344"/>
      <c r="D158" s="345"/>
      <c r="E158" s="49"/>
      <c r="F158" s="49"/>
      <c r="G158" s="49"/>
      <c r="H158" s="49"/>
      <c r="I158" s="28" t="s">
        <v>66</v>
      </c>
      <c r="J158" s="36" t="s">
        <v>19</v>
      </c>
      <c r="K158" s="30">
        <v>0.6</v>
      </c>
      <c r="L158" s="31" t="s">
        <v>20</v>
      </c>
    </row>
    <row r="159" spans="1:12" s="3" customFormat="1" ht="15.75" x14ac:dyDescent="0.2">
      <c r="A159" s="158">
        <f>59+1+1</f>
        <v>61</v>
      </c>
      <c r="B159" s="76" t="s">
        <v>58</v>
      </c>
      <c r="C159" s="85" t="s">
        <v>0</v>
      </c>
      <c r="D159" s="87">
        <v>8.8000000000000007</v>
      </c>
      <c r="E159" s="72"/>
      <c r="F159" s="72"/>
      <c r="G159" s="72"/>
      <c r="H159" s="72"/>
      <c r="I159" s="81" t="s">
        <v>25</v>
      </c>
      <c r="J159" s="24" t="s">
        <v>0</v>
      </c>
      <c r="K159" s="27">
        <v>8.8000000000000007</v>
      </c>
      <c r="L159" s="31" t="s">
        <v>20</v>
      </c>
    </row>
    <row r="160" spans="1:12" s="3" customFormat="1" ht="12.75" x14ac:dyDescent="0.2">
      <c r="A160" s="343">
        <f>60+1+1</f>
        <v>62</v>
      </c>
      <c r="B160" s="351" t="s">
        <v>61</v>
      </c>
      <c r="C160" s="353" t="s">
        <v>19</v>
      </c>
      <c r="D160" s="358">
        <v>4</v>
      </c>
      <c r="E160" s="72"/>
      <c r="F160" s="72"/>
      <c r="G160" s="72"/>
      <c r="H160" s="72"/>
      <c r="I160" s="81" t="s">
        <v>62</v>
      </c>
      <c r="J160" s="24" t="s">
        <v>19</v>
      </c>
      <c r="K160" s="27">
        <v>4</v>
      </c>
      <c r="L160" s="31" t="s">
        <v>20</v>
      </c>
    </row>
    <row r="161" spans="1:12" s="3" customFormat="1" ht="12.75" x14ac:dyDescent="0.2">
      <c r="A161" s="343"/>
      <c r="B161" s="351"/>
      <c r="C161" s="353"/>
      <c r="D161" s="358"/>
      <c r="E161" s="72"/>
      <c r="F161" s="72"/>
      <c r="G161" s="72"/>
      <c r="H161" s="72"/>
      <c r="I161" s="81" t="s">
        <v>63</v>
      </c>
      <c r="J161" s="24" t="s">
        <v>19</v>
      </c>
      <c r="K161" s="27">
        <v>4</v>
      </c>
      <c r="L161" s="31" t="s">
        <v>20</v>
      </c>
    </row>
    <row r="162" spans="1:12" s="3" customFormat="1" ht="15.75" x14ac:dyDescent="0.25">
      <c r="A162" s="126"/>
      <c r="B162" s="78" t="s">
        <v>75</v>
      </c>
      <c r="C162" s="19"/>
      <c r="D162" s="21"/>
      <c r="E162" s="19"/>
      <c r="F162" s="19"/>
      <c r="G162" s="19"/>
      <c r="H162" s="32"/>
      <c r="I162" s="19"/>
      <c r="J162" s="19"/>
      <c r="K162" s="23"/>
      <c r="L162" s="19"/>
    </row>
    <row r="163" spans="1:12" s="3" customFormat="1" ht="12.75" x14ac:dyDescent="0.2">
      <c r="A163" s="125">
        <f>61+1+1</f>
        <v>63</v>
      </c>
      <c r="B163" s="28" t="s">
        <v>48</v>
      </c>
      <c r="C163" s="31" t="s">
        <v>19</v>
      </c>
      <c r="D163" s="33">
        <v>2</v>
      </c>
      <c r="E163" s="34"/>
      <c r="F163" s="34"/>
      <c r="G163" s="34"/>
      <c r="H163" s="34"/>
      <c r="I163" s="35"/>
      <c r="J163" s="36"/>
      <c r="K163" s="30"/>
      <c r="L163" s="31" t="s">
        <v>20</v>
      </c>
    </row>
    <row r="164" spans="1:12" s="3" customFormat="1" ht="12.75" x14ac:dyDescent="0.2">
      <c r="A164" s="348">
        <f>62+1+1</f>
        <v>64</v>
      </c>
      <c r="B164" s="346" t="s">
        <v>50</v>
      </c>
      <c r="C164" s="352" t="s">
        <v>0</v>
      </c>
      <c r="D164" s="355">
        <v>4</v>
      </c>
      <c r="E164" s="366"/>
      <c r="F164" s="366"/>
      <c r="G164" s="366"/>
      <c r="H164" s="366"/>
      <c r="I164" s="35" t="s">
        <v>51</v>
      </c>
      <c r="J164" s="36" t="s">
        <v>0</v>
      </c>
      <c r="K164" s="30">
        <v>4</v>
      </c>
      <c r="L164" s="31" t="s">
        <v>20</v>
      </c>
    </row>
    <row r="165" spans="1:12" s="3" customFormat="1" ht="25.5" x14ac:dyDescent="0.2">
      <c r="A165" s="350"/>
      <c r="B165" s="351"/>
      <c r="C165" s="353"/>
      <c r="D165" s="356"/>
      <c r="E165" s="374"/>
      <c r="F165" s="374"/>
      <c r="G165" s="374"/>
      <c r="H165" s="374"/>
      <c r="I165" s="35" t="s">
        <v>56</v>
      </c>
      <c r="J165" s="36" t="s">
        <v>19</v>
      </c>
      <c r="K165" s="30">
        <v>1</v>
      </c>
      <c r="L165" s="31" t="s">
        <v>20</v>
      </c>
    </row>
    <row r="166" spans="1:12" s="3" customFormat="1" ht="12.75" x14ac:dyDescent="0.2">
      <c r="A166" s="349"/>
      <c r="B166" s="347"/>
      <c r="C166" s="354"/>
      <c r="D166" s="357"/>
      <c r="E166" s="367"/>
      <c r="F166" s="367"/>
      <c r="G166" s="367"/>
      <c r="H166" s="367"/>
      <c r="I166" s="35" t="s">
        <v>57</v>
      </c>
      <c r="J166" s="36" t="s">
        <v>19</v>
      </c>
      <c r="K166" s="30">
        <v>1</v>
      </c>
      <c r="L166" s="31" t="s">
        <v>20</v>
      </c>
    </row>
    <row r="167" spans="1:12" s="3" customFormat="1" ht="12.75" x14ac:dyDescent="0.2">
      <c r="A167" s="123">
        <f>63+1+1</f>
        <v>65</v>
      </c>
      <c r="B167" s="86" t="s">
        <v>69</v>
      </c>
      <c r="C167" s="85" t="s">
        <v>19</v>
      </c>
      <c r="D167" s="90">
        <v>1</v>
      </c>
      <c r="E167" s="89"/>
      <c r="F167" s="89"/>
      <c r="G167" s="89"/>
      <c r="H167" s="89"/>
      <c r="I167" s="35" t="s">
        <v>70</v>
      </c>
      <c r="J167" s="36" t="s">
        <v>19</v>
      </c>
      <c r="K167" s="30">
        <v>1</v>
      </c>
      <c r="L167" s="31" t="s">
        <v>20</v>
      </c>
    </row>
    <row r="168" spans="1:12" s="3" customFormat="1" ht="25.5" x14ac:dyDescent="0.2">
      <c r="A168" s="124">
        <v>66</v>
      </c>
      <c r="B168" s="74" t="s">
        <v>21</v>
      </c>
      <c r="C168" s="82" t="s">
        <v>0</v>
      </c>
      <c r="D168" s="84">
        <v>65.7</v>
      </c>
      <c r="E168" s="75"/>
      <c r="F168" s="75"/>
      <c r="G168" s="75"/>
      <c r="H168" s="75"/>
      <c r="I168" s="28" t="s">
        <v>22</v>
      </c>
      <c r="J168" s="36" t="s">
        <v>0</v>
      </c>
      <c r="K168" s="30">
        <v>65.7</v>
      </c>
      <c r="L168" s="31" t="s">
        <v>20</v>
      </c>
    </row>
    <row r="169" spans="1:12" s="3" customFormat="1" ht="15" customHeight="1" x14ac:dyDescent="0.2">
      <c r="A169" s="343">
        <v>67</v>
      </c>
      <c r="B169" s="342" t="s">
        <v>23</v>
      </c>
      <c r="C169" s="344" t="s">
        <v>0</v>
      </c>
      <c r="D169" s="345">
        <v>46</v>
      </c>
      <c r="E169" s="172"/>
      <c r="F169" s="172"/>
      <c r="G169" s="172"/>
      <c r="H169" s="172"/>
      <c r="I169" s="155" t="s">
        <v>114</v>
      </c>
      <c r="J169" s="36" t="s">
        <v>115</v>
      </c>
      <c r="K169" s="30">
        <v>1</v>
      </c>
      <c r="L169" s="156" t="s">
        <v>20</v>
      </c>
    </row>
    <row r="170" spans="1:12" ht="25.5" x14ac:dyDescent="0.2">
      <c r="A170" s="343"/>
      <c r="B170" s="342"/>
      <c r="C170" s="344"/>
      <c r="D170" s="345"/>
      <c r="E170" s="49"/>
      <c r="F170" s="49"/>
      <c r="G170" s="49"/>
      <c r="H170" s="49"/>
      <c r="I170" s="28" t="s">
        <v>22</v>
      </c>
      <c r="J170" s="36" t="s">
        <v>0</v>
      </c>
      <c r="K170" s="30">
        <v>46</v>
      </c>
      <c r="L170" s="31" t="s">
        <v>20</v>
      </c>
    </row>
    <row r="171" spans="1:12" ht="12.75" x14ac:dyDescent="0.2">
      <c r="A171" s="348">
        <v>68</v>
      </c>
      <c r="B171" s="346" t="s">
        <v>24</v>
      </c>
      <c r="C171" s="352" t="s">
        <v>19</v>
      </c>
      <c r="D171" s="355">
        <v>2</v>
      </c>
      <c r="E171" s="366"/>
      <c r="F171" s="366"/>
      <c r="G171" s="366"/>
      <c r="H171" s="366"/>
      <c r="I171" s="40" t="s">
        <v>53</v>
      </c>
      <c r="J171" s="24" t="s">
        <v>19</v>
      </c>
      <c r="K171" s="27">
        <v>2</v>
      </c>
      <c r="L171" s="31" t="s">
        <v>20</v>
      </c>
    </row>
    <row r="172" spans="1:12" ht="38.25" x14ac:dyDescent="0.2">
      <c r="A172" s="343"/>
      <c r="B172" s="342"/>
      <c r="C172" s="344"/>
      <c r="D172" s="375"/>
      <c r="E172" s="376"/>
      <c r="F172" s="376"/>
      <c r="G172" s="376"/>
      <c r="H172" s="376"/>
      <c r="I172" s="40" t="s">
        <v>52</v>
      </c>
      <c r="J172" s="24" t="s">
        <v>19</v>
      </c>
      <c r="K172" s="27">
        <v>2</v>
      </c>
      <c r="L172" s="31" t="s">
        <v>20</v>
      </c>
    </row>
    <row r="173" spans="1:12" ht="16.5" customHeight="1" x14ac:dyDescent="0.2">
      <c r="A173" s="343">
        <v>69</v>
      </c>
      <c r="B173" s="342" t="s">
        <v>59</v>
      </c>
      <c r="C173" s="344" t="s">
        <v>0</v>
      </c>
      <c r="D173" s="345">
        <v>5.0999999999999996</v>
      </c>
      <c r="E173" s="173"/>
      <c r="F173" s="173"/>
      <c r="G173" s="173"/>
      <c r="H173" s="173"/>
      <c r="I173" s="40" t="s">
        <v>114</v>
      </c>
      <c r="J173" s="24" t="s">
        <v>115</v>
      </c>
      <c r="K173" s="27">
        <v>1</v>
      </c>
      <c r="L173" s="156" t="s">
        <v>20</v>
      </c>
    </row>
    <row r="174" spans="1:12" ht="12.75" customHeight="1" x14ac:dyDescent="0.2">
      <c r="A174" s="343"/>
      <c r="B174" s="342"/>
      <c r="C174" s="344"/>
      <c r="D174" s="345"/>
      <c r="E174" s="49"/>
      <c r="F174" s="49"/>
      <c r="G174" s="49"/>
      <c r="H174" s="49"/>
      <c r="I174" s="28" t="s">
        <v>25</v>
      </c>
      <c r="J174" s="36" t="s">
        <v>0</v>
      </c>
      <c r="K174" s="30">
        <v>5.0999999999999996</v>
      </c>
      <c r="L174" s="31" t="s">
        <v>20</v>
      </c>
    </row>
    <row r="175" spans="1:12" ht="12.75" x14ac:dyDescent="0.2">
      <c r="A175" s="343"/>
      <c r="B175" s="342"/>
      <c r="C175" s="344"/>
      <c r="D175" s="345"/>
      <c r="E175" s="49"/>
      <c r="F175" s="49"/>
      <c r="G175" s="49"/>
      <c r="H175" s="49"/>
      <c r="I175" s="28" t="s">
        <v>66</v>
      </c>
      <c r="J175" s="36" t="s">
        <v>19</v>
      </c>
      <c r="K175" s="30">
        <v>5.0999999999999996</v>
      </c>
      <c r="L175" s="31" t="s">
        <v>20</v>
      </c>
    </row>
    <row r="176" spans="1:12" ht="15.75" x14ac:dyDescent="0.2">
      <c r="A176" s="123">
        <v>70</v>
      </c>
      <c r="B176" s="76" t="s">
        <v>58</v>
      </c>
      <c r="C176" s="85" t="s">
        <v>0</v>
      </c>
      <c r="D176" s="87">
        <v>6.1</v>
      </c>
      <c r="E176" s="72"/>
      <c r="F176" s="72"/>
      <c r="G176" s="72"/>
      <c r="H176" s="72"/>
      <c r="I176" s="81" t="s">
        <v>25</v>
      </c>
      <c r="J176" s="24" t="s">
        <v>0</v>
      </c>
      <c r="K176" s="27">
        <v>6.1</v>
      </c>
      <c r="L176" s="31" t="s">
        <v>20</v>
      </c>
    </row>
    <row r="177" spans="1:12" ht="12.75" x14ac:dyDescent="0.2">
      <c r="A177" s="348">
        <v>71</v>
      </c>
      <c r="B177" s="342" t="s">
        <v>60</v>
      </c>
      <c r="C177" s="156"/>
      <c r="D177" s="345">
        <v>11.6</v>
      </c>
      <c r="E177" s="34"/>
      <c r="F177" s="34"/>
      <c r="G177" s="34"/>
      <c r="H177" s="34"/>
      <c r="I177" s="28" t="s">
        <v>66</v>
      </c>
      <c r="J177" s="36" t="s">
        <v>19</v>
      </c>
      <c r="K177" s="30">
        <v>11.6</v>
      </c>
      <c r="L177" s="31" t="s">
        <v>20</v>
      </c>
    </row>
    <row r="178" spans="1:12" ht="12.75" x14ac:dyDescent="0.2">
      <c r="A178" s="349"/>
      <c r="B178" s="342"/>
      <c r="C178" s="156" t="s">
        <v>0</v>
      </c>
      <c r="D178" s="345"/>
      <c r="E178" s="34"/>
      <c r="F178" s="172"/>
      <c r="G178" s="172"/>
      <c r="H178" s="172"/>
      <c r="I178" s="81" t="s">
        <v>25</v>
      </c>
      <c r="J178" s="24" t="s">
        <v>0</v>
      </c>
      <c r="K178" s="27">
        <v>11.66</v>
      </c>
      <c r="L178" s="83" t="s">
        <v>20</v>
      </c>
    </row>
    <row r="179" spans="1:12" ht="12.75" x14ac:dyDescent="0.2">
      <c r="A179" s="343">
        <v>72</v>
      </c>
      <c r="B179" s="342" t="s">
        <v>61</v>
      </c>
      <c r="C179" s="344" t="s">
        <v>19</v>
      </c>
      <c r="D179" s="345">
        <v>5</v>
      </c>
      <c r="E179" s="49"/>
      <c r="F179" s="49"/>
      <c r="G179" s="49"/>
      <c r="H179" s="49"/>
      <c r="I179" s="81" t="s">
        <v>62</v>
      </c>
      <c r="J179" s="24" t="s">
        <v>19</v>
      </c>
      <c r="K179" s="27">
        <v>5</v>
      </c>
      <c r="L179" s="31" t="s">
        <v>20</v>
      </c>
    </row>
    <row r="180" spans="1:12" ht="12.75" x14ac:dyDescent="0.2">
      <c r="A180" s="343"/>
      <c r="B180" s="342"/>
      <c r="C180" s="344"/>
      <c r="D180" s="345"/>
      <c r="E180" s="49"/>
      <c r="F180" s="49"/>
      <c r="G180" s="49"/>
      <c r="H180" s="49"/>
      <c r="I180" s="81" t="s">
        <v>63</v>
      </c>
      <c r="J180" s="24" t="s">
        <v>19</v>
      </c>
      <c r="K180" s="27">
        <v>5</v>
      </c>
      <c r="L180" s="31" t="s">
        <v>20</v>
      </c>
    </row>
    <row r="181" spans="1:12" ht="15.75" x14ac:dyDescent="0.25">
      <c r="A181" s="126"/>
      <c r="B181" s="92" t="s">
        <v>76</v>
      </c>
      <c r="C181" s="19"/>
      <c r="D181" s="21"/>
      <c r="E181" s="19"/>
      <c r="F181" s="19"/>
      <c r="G181" s="19"/>
      <c r="H181" s="32"/>
      <c r="I181" s="19"/>
      <c r="J181" s="19"/>
      <c r="K181" s="23"/>
      <c r="L181" s="19"/>
    </row>
    <row r="182" spans="1:12" ht="12.75" x14ac:dyDescent="0.2">
      <c r="A182" s="125">
        <f>68+1+1+3</f>
        <v>73</v>
      </c>
      <c r="B182" s="28" t="s">
        <v>48</v>
      </c>
      <c r="C182" s="31" t="s">
        <v>19</v>
      </c>
      <c r="D182" s="33">
        <v>2</v>
      </c>
      <c r="E182" s="34"/>
      <c r="F182" s="34"/>
      <c r="G182" s="34"/>
      <c r="H182" s="34"/>
      <c r="I182" s="35"/>
      <c r="J182" s="36"/>
      <c r="K182" s="30"/>
      <c r="L182" s="31" t="s">
        <v>20</v>
      </c>
    </row>
    <row r="183" spans="1:12" ht="12.75" x14ac:dyDescent="0.2">
      <c r="A183" s="348">
        <f>69+1+1+3</f>
        <v>74</v>
      </c>
      <c r="B183" s="346" t="s">
        <v>50</v>
      </c>
      <c r="C183" s="352" t="s">
        <v>0</v>
      </c>
      <c r="D183" s="355">
        <v>2.5</v>
      </c>
      <c r="E183" s="366"/>
      <c r="F183" s="366"/>
      <c r="G183" s="366"/>
      <c r="H183" s="366"/>
      <c r="I183" s="35" t="s">
        <v>51</v>
      </c>
      <c r="J183" s="36" t="s">
        <v>0</v>
      </c>
      <c r="K183" s="30">
        <v>2.5</v>
      </c>
      <c r="L183" s="31" t="s">
        <v>20</v>
      </c>
    </row>
    <row r="184" spans="1:12" ht="12.75" x14ac:dyDescent="0.2">
      <c r="A184" s="349"/>
      <c r="B184" s="347"/>
      <c r="C184" s="354"/>
      <c r="D184" s="357"/>
      <c r="E184" s="367"/>
      <c r="F184" s="367"/>
      <c r="G184" s="367"/>
      <c r="H184" s="367"/>
      <c r="I184" s="35" t="s">
        <v>57</v>
      </c>
      <c r="J184" s="36" t="s">
        <v>19</v>
      </c>
      <c r="K184" s="30">
        <v>1</v>
      </c>
      <c r="L184" s="31" t="s">
        <v>20</v>
      </c>
    </row>
    <row r="185" spans="1:12" ht="12.75" x14ac:dyDescent="0.2">
      <c r="A185" s="123">
        <f>70+1+1+3</f>
        <v>75</v>
      </c>
      <c r="B185" s="86" t="s">
        <v>69</v>
      </c>
      <c r="C185" s="85" t="s">
        <v>19</v>
      </c>
      <c r="D185" s="90">
        <v>1</v>
      </c>
      <c r="E185" s="89"/>
      <c r="F185" s="89"/>
      <c r="G185" s="89"/>
      <c r="H185" s="89"/>
      <c r="I185" s="35" t="s">
        <v>70</v>
      </c>
      <c r="J185" s="36" t="s">
        <v>19</v>
      </c>
      <c r="K185" s="30">
        <v>1</v>
      </c>
      <c r="L185" s="31" t="s">
        <v>20</v>
      </c>
    </row>
    <row r="186" spans="1:12" ht="25.5" x14ac:dyDescent="0.2">
      <c r="A186" s="124">
        <f>71+1+1+3</f>
        <v>76</v>
      </c>
      <c r="B186" s="74" t="s">
        <v>21</v>
      </c>
      <c r="C186" s="82" t="s">
        <v>0</v>
      </c>
      <c r="D186" s="84">
        <v>38</v>
      </c>
      <c r="E186" s="75"/>
      <c r="F186" s="75"/>
      <c r="G186" s="75"/>
      <c r="H186" s="75"/>
      <c r="I186" s="28" t="s">
        <v>22</v>
      </c>
      <c r="J186" s="36" t="s">
        <v>0</v>
      </c>
      <c r="K186" s="30">
        <v>38</v>
      </c>
      <c r="L186" s="31" t="s">
        <v>20</v>
      </c>
    </row>
    <row r="187" spans="1:12" ht="15" customHeight="1" x14ac:dyDescent="0.2">
      <c r="A187" s="343">
        <f>72+1+1+3</f>
        <v>77</v>
      </c>
      <c r="B187" s="342" t="s">
        <v>23</v>
      </c>
      <c r="C187" s="344" t="s">
        <v>0</v>
      </c>
      <c r="D187" s="345">
        <v>24</v>
      </c>
      <c r="E187" s="172"/>
      <c r="F187" s="172"/>
      <c r="G187" s="172"/>
      <c r="H187" s="172"/>
      <c r="I187" s="155" t="s">
        <v>114</v>
      </c>
      <c r="J187" s="36" t="s">
        <v>115</v>
      </c>
      <c r="K187" s="30">
        <v>1</v>
      </c>
      <c r="L187" s="156" t="s">
        <v>20</v>
      </c>
    </row>
    <row r="188" spans="1:12" ht="25.5" x14ac:dyDescent="0.2">
      <c r="A188" s="343"/>
      <c r="B188" s="342"/>
      <c r="C188" s="344"/>
      <c r="D188" s="345"/>
      <c r="E188" s="49"/>
      <c r="F188" s="49"/>
      <c r="G188" s="49"/>
      <c r="H188" s="49"/>
      <c r="I188" s="28" t="s">
        <v>22</v>
      </c>
      <c r="J188" s="36" t="s">
        <v>0</v>
      </c>
      <c r="K188" s="30">
        <v>24</v>
      </c>
      <c r="L188" s="31" t="s">
        <v>20</v>
      </c>
    </row>
    <row r="189" spans="1:12" ht="12.75" x14ac:dyDescent="0.2">
      <c r="A189" s="348">
        <f>73+1+1+3</f>
        <v>78</v>
      </c>
      <c r="B189" s="346" t="s">
        <v>24</v>
      </c>
      <c r="C189" s="352" t="s">
        <v>19</v>
      </c>
      <c r="D189" s="355">
        <v>1</v>
      </c>
      <c r="E189" s="366"/>
      <c r="F189" s="366"/>
      <c r="G189" s="366"/>
      <c r="H189" s="366"/>
      <c r="I189" s="40" t="s">
        <v>53</v>
      </c>
      <c r="J189" s="24" t="s">
        <v>19</v>
      </c>
      <c r="K189" s="27">
        <v>1</v>
      </c>
      <c r="L189" s="31" t="s">
        <v>20</v>
      </c>
    </row>
    <row r="190" spans="1:12" ht="38.25" x14ac:dyDescent="0.2">
      <c r="A190" s="349"/>
      <c r="B190" s="347"/>
      <c r="C190" s="354"/>
      <c r="D190" s="357"/>
      <c r="E190" s="367"/>
      <c r="F190" s="367"/>
      <c r="G190" s="367"/>
      <c r="H190" s="367"/>
      <c r="I190" s="40" t="s">
        <v>52</v>
      </c>
      <c r="J190" s="24" t="s">
        <v>19</v>
      </c>
      <c r="K190" s="27">
        <v>1</v>
      </c>
      <c r="L190" s="31" t="s">
        <v>20</v>
      </c>
    </row>
    <row r="191" spans="1:12" ht="16.5" customHeight="1" x14ac:dyDescent="0.2">
      <c r="A191" s="343">
        <f>74+1+1+3</f>
        <v>79</v>
      </c>
      <c r="B191" s="342" t="s">
        <v>59</v>
      </c>
      <c r="C191" s="344" t="s">
        <v>0</v>
      </c>
      <c r="D191" s="345">
        <v>5.2</v>
      </c>
      <c r="E191" s="173"/>
      <c r="F191" s="173"/>
      <c r="G191" s="173"/>
      <c r="H191" s="173"/>
      <c r="I191" s="40" t="s">
        <v>114</v>
      </c>
      <c r="J191" s="24" t="s">
        <v>115</v>
      </c>
      <c r="K191" s="27">
        <v>1</v>
      </c>
      <c r="L191" s="156" t="s">
        <v>20</v>
      </c>
    </row>
    <row r="192" spans="1:12" ht="12.75" customHeight="1" x14ac:dyDescent="0.2">
      <c r="A192" s="343"/>
      <c r="B192" s="342"/>
      <c r="C192" s="344"/>
      <c r="D192" s="345"/>
      <c r="E192" s="49"/>
      <c r="F192" s="49"/>
      <c r="G192" s="49"/>
      <c r="H192" s="49"/>
      <c r="I192" s="28" t="s">
        <v>25</v>
      </c>
      <c r="J192" s="36" t="s">
        <v>0</v>
      </c>
      <c r="K192" s="30">
        <v>5.2</v>
      </c>
      <c r="L192" s="31" t="s">
        <v>20</v>
      </c>
    </row>
    <row r="193" spans="1:12" ht="12.75" x14ac:dyDescent="0.2">
      <c r="A193" s="343"/>
      <c r="B193" s="342"/>
      <c r="C193" s="344"/>
      <c r="D193" s="345"/>
      <c r="E193" s="49"/>
      <c r="F193" s="49"/>
      <c r="G193" s="49"/>
      <c r="H193" s="49"/>
      <c r="I193" s="28" t="s">
        <v>66</v>
      </c>
      <c r="J193" s="36" t="s">
        <v>19</v>
      </c>
      <c r="K193" s="30">
        <v>5.2</v>
      </c>
      <c r="L193" s="31" t="s">
        <v>20</v>
      </c>
    </row>
    <row r="194" spans="1:12" ht="15.75" x14ac:dyDescent="0.2">
      <c r="A194" s="123">
        <f>75+1+1+3</f>
        <v>80</v>
      </c>
      <c r="B194" s="76" t="s">
        <v>58</v>
      </c>
      <c r="C194" s="85" t="s">
        <v>0</v>
      </c>
      <c r="D194" s="87">
        <v>4.5</v>
      </c>
      <c r="E194" s="72"/>
      <c r="F194" s="72"/>
      <c r="G194" s="72"/>
      <c r="H194" s="72"/>
      <c r="I194" s="81" t="s">
        <v>25</v>
      </c>
      <c r="J194" s="24" t="s">
        <v>0</v>
      </c>
      <c r="K194" s="27">
        <v>4.5</v>
      </c>
      <c r="L194" s="31" t="s">
        <v>20</v>
      </c>
    </row>
    <row r="195" spans="1:12" ht="12.75" x14ac:dyDescent="0.2">
      <c r="A195" s="348">
        <f>76+1+1+3</f>
        <v>81</v>
      </c>
      <c r="B195" s="342" t="s">
        <v>60</v>
      </c>
      <c r="C195" s="85"/>
      <c r="D195" s="359">
        <v>8.8000000000000007</v>
      </c>
      <c r="E195" s="44"/>
      <c r="F195" s="44"/>
      <c r="G195" s="44"/>
      <c r="H195" s="44"/>
      <c r="I195" s="28" t="s">
        <v>66</v>
      </c>
      <c r="J195" s="36" t="s">
        <v>19</v>
      </c>
      <c r="K195" s="30">
        <v>8.8000000000000007</v>
      </c>
      <c r="L195" s="31" t="s">
        <v>20</v>
      </c>
    </row>
    <row r="196" spans="1:12" ht="12.75" x14ac:dyDescent="0.2">
      <c r="A196" s="349"/>
      <c r="B196" s="342"/>
      <c r="C196" s="85" t="s">
        <v>0</v>
      </c>
      <c r="D196" s="360"/>
      <c r="E196" s="44"/>
      <c r="F196" s="77"/>
      <c r="G196" s="77"/>
      <c r="H196" s="77"/>
      <c r="I196" s="81" t="s">
        <v>25</v>
      </c>
      <c r="J196" s="24" t="s">
        <v>0</v>
      </c>
      <c r="K196" s="27">
        <v>8.8000000000000007</v>
      </c>
      <c r="L196" s="83" t="s">
        <v>20</v>
      </c>
    </row>
    <row r="197" spans="1:12" ht="12.75" x14ac:dyDescent="0.2">
      <c r="A197" s="350">
        <f>77+1+1+3</f>
        <v>82</v>
      </c>
      <c r="B197" s="351" t="s">
        <v>61</v>
      </c>
      <c r="C197" s="353" t="s">
        <v>19</v>
      </c>
      <c r="D197" s="358">
        <v>3</v>
      </c>
      <c r="E197" s="72"/>
      <c r="F197" s="72"/>
      <c r="G197" s="72"/>
      <c r="H197" s="72"/>
      <c r="I197" s="81" t="s">
        <v>62</v>
      </c>
      <c r="J197" s="24" t="s">
        <v>19</v>
      </c>
      <c r="K197" s="27">
        <v>3</v>
      </c>
      <c r="L197" s="31" t="s">
        <v>20</v>
      </c>
    </row>
    <row r="198" spans="1:12" s="3" customFormat="1" ht="12.75" x14ac:dyDescent="0.2">
      <c r="A198" s="350"/>
      <c r="B198" s="351"/>
      <c r="C198" s="353"/>
      <c r="D198" s="358"/>
      <c r="E198" s="72"/>
      <c r="F198" s="72"/>
      <c r="G198" s="72"/>
      <c r="H198" s="72"/>
      <c r="I198" s="81" t="s">
        <v>63</v>
      </c>
      <c r="J198" s="24" t="s">
        <v>19</v>
      </c>
      <c r="K198" s="27">
        <v>3</v>
      </c>
      <c r="L198" s="31" t="s">
        <v>20</v>
      </c>
    </row>
    <row r="199" spans="1:12" s="3" customFormat="1" ht="21.75" customHeight="1" x14ac:dyDescent="0.25">
      <c r="A199" s="126"/>
      <c r="B199" s="78" t="s">
        <v>77</v>
      </c>
      <c r="C199" s="19"/>
      <c r="D199" s="21"/>
      <c r="E199" s="19"/>
      <c r="F199" s="19"/>
      <c r="G199" s="19"/>
      <c r="H199" s="32"/>
      <c r="I199" s="19"/>
      <c r="J199" s="19"/>
      <c r="K199" s="23"/>
      <c r="L199" s="19"/>
    </row>
    <row r="200" spans="1:12" ht="12.75" x14ac:dyDescent="0.2">
      <c r="A200" s="125">
        <f>78+1+1+3</f>
        <v>83</v>
      </c>
      <c r="B200" s="28" t="s">
        <v>48</v>
      </c>
      <c r="C200" s="31" t="s">
        <v>19</v>
      </c>
      <c r="D200" s="33">
        <v>2</v>
      </c>
      <c r="E200" s="34"/>
      <c r="F200" s="34"/>
      <c r="G200" s="34"/>
      <c r="H200" s="34"/>
      <c r="I200" s="35"/>
      <c r="J200" s="36"/>
      <c r="K200" s="30"/>
      <c r="L200" s="31" t="s">
        <v>20</v>
      </c>
    </row>
    <row r="201" spans="1:12" ht="12.75" x14ac:dyDescent="0.2">
      <c r="A201" s="348">
        <f>79+1+1+3</f>
        <v>84</v>
      </c>
      <c r="B201" s="346" t="s">
        <v>50</v>
      </c>
      <c r="C201" s="352" t="s">
        <v>0</v>
      </c>
      <c r="D201" s="355">
        <v>6</v>
      </c>
      <c r="E201" s="366"/>
      <c r="F201" s="366"/>
      <c r="G201" s="366"/>
      <c r="H201" s="366"/>
      <c r="I201" s="35" t="s">
        <v>51</v>
      </c>
      <c r="J201" s="36" t="s">
        <v>0</v>
      </c>
      <c r="K201" s="30">
        <v>6</v>
      </c>
      <c r="L201" s="31" t="s">
        <v>20</v>
      </c>
    </row>
    <row r="202" spans="1:12" ht="12.75" x14ac:dyDescent="0.2">
      <c r="A202" s="349"/>
      <c r="B202" s="347"/>
      <c r="C202" s="354"/>
      <c r="D202" s="357"/>
      <c r="E202" s="367"/>
      <c r="F202" s="367"/>
      <c r="G202" s="367"/>
      <c r="H202" s="367"/>
      <c r="I202" s="35" t="s">
        <v>57</v>
      </c>
      <c r="J202" s="36" t="s">
        <v>19</v>
      </c>
      <c r="K202" s="30">
        <v>3</v>
      </c>
      <c r="L202" s="31" t="s">
        <v>20</v>
      </c>
    </row>
    <row r="203" spans="1:12" ht="12.75" x14ac:dyDescent="0.2">
      <c r="A203" s="123">
        <f>80+1+1+3</f>
        <v>85</v>
      </c>
      <c r="B203" s="86" t="s">
        <v>69</v>
      </c>
      <c r="C203" s="85" t="s">
        <v>19</v>
      </c>
      <c r="D203" s="90">
        <v>1</v>
      </c>
      <c r="E203" s="89"/>
      <c r="F203" s="89"/>
      <c r="G203" s="89"/>
      <c r="H203" s="89"/>
      <c r="I203" s="35" t="s">
        <v>70</v>
      </c>
      <c r="J203" s="36" t="s">
        <v>19</v>
      </c>
      <c r="K203" s="30">
        <v>1</v>
      </c>
      <c r="L203" s="31" t="s">
        <v>20</v>
      </c>
    </row>
    <row r="204" spans="1:12" ht="25.5" x14ac:dyDescent="0.2">
      <c r="A204" s="124">
        <f>81+1+1+3</f>
        <v>86</v>
      </c>
      <c r="B204" s="74" t="s">
        <v>21</v>
      </c>
      <c r="C204" s="82" t="s">
        <v>0</v>
      </c>
      <c r="D204" s="84">
        <v>113</v>
      </c>
      <c r="E204" s="75"/>
      <c r="F204" s="75"/>
      <c r="G204" s="75"/>
      <c r="H204" s="75"/>
      <c r="I204" s="28" t="s">
        <v>22</v>
      </c>
      <c r="J204" s="36" t="s">
        <v>0</v>
      </c>
      <c r="K204" s="30">
        <v>113</v>
      </c>
      <c r="L204" s="31" t="s">
        <v>20</v>
      </c>
    </row>
    <row r="205" spans="1:12" ht="15" customHeight="1" x14ac:dyDescent="0.2">
      <c r="A205" s="343">
        <f>82+1+1+3</f>
        <v>87</v>
      </c>
      <c r="B205" s="342" t="s">
        <v>23</v>
      </c>
      <c r="C205" s="344" t="s">
        <v>0</v>
      </c>
      <c r="D205" s="345">
        <v>60</v>
      </c>
      <c r="E205" s="172"/>
      <c r="F205" s="172"/>
      <c r="G205" s="172"/>
      <c r="H205" s="172"/>
      <c r="I205" s="155" t="s">
        <v>114</v>
      </c>
      <c r="J205" s="36" t="s">
        <v>115</v>
      </c>
      <c r="K205" s="30">
        <v>1</v>
      </c>
      <c r="L205" s="156" t="s">
        <v>20</v>
      </c>
    </row>
    <row r="206" spans="1:12" ht="25.5" x14ac:dyDescent="0.2">
      <c r="A206" s="343"/>
      <c r="B206" s="342"/>
      <c r="C206" s="344"/>
      <c r="D206" s="345"/>
      <c r="E206" s="49"/>
      <c r="F206" s="49"/>
      <c r="G206" s="49"/>
      <c r="H206" s="49"/>
      <c r="I206" s="28" t="s">
        <v>22</v>
      </c>
      <c r="J206" s="36" t="s">
        <v>0</v>
      </c>
      <c r="K206" s="30">
        <v>60</v>
      </c>
      <c r="L206" s="31" t="s">
        <v>20</v>
      </c>
    </row>
    <row r="207" spans="1:12" ht="12.75" x14ac:dyDescent="0.2">
      <c r="A207" s="348">
        <f>83+1+1+3</f>
        <v>88</v>
      </c>
      <c r="B207" s="346" t="s">
        <v>24</v>
      </c>
      <c r="C207" s="352" t="s">
        <v>19</v>
      </c>
      <c r="D207" s="355">
        <v>2</v>
      </c>
      <c r="E207" s="366"/>
      <c r="F207" s="366"/>
      <c r="G207" s="366"/>
      <c r="H207" s="366"/>
      <c r="I207" s="40" t="s">
        <v>53</v>
      </c>
      <c r="J207" s="24" t="s">
        <v>19</v>
      </c>
      <c r="K207" s="27">
        <v>2</v>
      </c>
      <c r="L207" s="31" t="s">
        <v>20</v>
      </c>
    </row>
    <row r="208" spans="1:12" ht="38.25" x14ac:dyDescent="0.2">
      <c r="A208" s="349"/>
      <c r="B208" s="347"/>
      <c r="C208" s="354"/>
      <c r="D208" s="357"/>
      <c r="E208" s="367"/>
      <c r="F208" s="367"/>
      <c r="G208" s="367"/>
      <c r="H208" s="367"/>
      <c r="I208" s="40" t="s">
        <v>52</v>
      </c>
      <c r="J208" s="24" t="s">
        <v>19</v>
      </c>
      <c r="K208" s="27">
        <v>2</v>
      </c>
      <c r="L208" s="31" t="s">
        <v>20</v>
      </c>
    </row>
    <row r="209" spans="1:12" ht="38.25" x14ac:dyDescent="0.2">
      <c r="A209" s="348">
        <f>84+1+1+3</f>
        <v>89</v>
      </c>
      <c r="B209" s="346" t="s">
        <v>55</v>
      </c>
      <c r="C209" s="352" t="s">
        <v>19</v>
      </c>
      <c r="D209" s="355">
        <v>1</v>
      </c>
      <c r="E209" s="88"/>
      <c r="F209" s="88"/>
      <c r="G209" s="88"/>
      <c r="H209" s="88"/>
      <c r="I209" s="35" t="s">
        <v>54</v>
      </c>
      <c r="J209" s="36" t="s">
        <v>19</v>
      </c>
      <c r="K209" s="30">
        <v>1</v>
      </c>
      <c r="L209" s="31" t="s">
        <v>20</v>
      </c>
    </row>
    <row r="210" spans="1:12" ht="12.75" x14ac:dyDescent="0.2">
      <c r="A210" s="349"/>
      <c r="B210" s="347"/>
      <c r="C210" s="354"/>
      <c r="D210" s="357"/>
      <c r="E210" s="45"/>
      <c r="F210" s="45"/>
      <c r="G210" s="45"/>
      <c r="H210" s="45"/>
      <c r="I210" s="35" t="s">
        <v>53</v>
      </c>
      <c r="J210" s="36" t="s">
        <v>19</v>
      </c>
      <c r="K210" s="30">
        <v>1</v>
      </c>
      <c r="L210" s="31" t="s">
        <v>20</v>
      </c>
    </row>
    <row r="211" spans="1:12" ht="16.5" customHeight="1" x14ac:dyDescent="0.2">
      <c r="A211" s="343">
        <f>85+1+1+3</f>
        <v>90</v>
      </c>
      <c r="B211" s="342" t="s">
        <v>59</v>
      </c>
      <c r="C211" s="344" t="s">
        <v>0</v>
      </c>
      <c r="D211" s="345">
        <v>12</v>
      </c>
      <c r="E211" s="34"/>
      <c r="F211" s="34"/>
      <c r="G211" s="34"/>
      <c r="H211" s="34"/>
      <c r="I211" s="35" t="s">
        <v>114</v>
      </c>
      <c r="J211" s="36" t="s">
        <v>115</v>
      </c>
      <c r="K211" s="30">
        <v>1</v>
      </c>
      <c r="L211" s="156" t="s">
        <v>20</v>
      </c>
    </row>
    <row r="212" spans="1:12" ht="12.75" customHeight="1" x14ac:dyDescent="0.2">
      <c r="A212" s="343"/>
      <c r="B212" s="342"/>
      <c r="C212" s="344"/>
      <c r="D212" s="345"/>
      <c r="E212" s="49"/>
      <c r="F212" s="49"/>
      <c r="G212" s="49"/>
      <c r="H212" s="49"/>
      <c r="I212" s="28" t="s">
        <v>25</v>
      </c>
      <c r="J212" s="36" t="s">
        <v>0</v>
      </c>
      <c r="K212" s="30">
        <v>12</v>
      </c>
      <c r="L212" s="31" t="s">
        <v>20</v>
      </c>
    </row>
    <row r="213" spans="1:12" ht="12.75" x14ac:dyDescent="0.2">
      <c r="A213" s="343"/>
      <c r="B213" s="342"/>
      <c r="C213" s="344"/>
      <c r="D213" s="345"/>
      <c r="E213" s="49"/>
      <c r="F213" s="49"/>
      <c r="G213" s="49"/>
      <c r="H213" s="49"/>
      <c r="I213" s="28" t="s">
        <v>66</v>
      </c>
      <c r="J213" s="36" t="s">
        <v>19</v>
      </c>
      <c r="K213" s="30">
        <v>12</v>
      </c>
      <c r="L213" s="31" t="s">
        <v>20</v>
      </c>
    </row>
    <row r="214" spans="1:12" ht="15.75" x14ac:dyDescent="0.2">
      <c r="A214" s="123">
        <f>86+1+1+3</f>
        <v>91</v>
      </c>
      <c r="B214" s="76" t="s">
        <v>58</v>
      </c>
      <c r="C214" s="85" t="s">
        <v>0</v>
      </c>
      <c r="D214" s="87">
        <v>8</v>
      </c>
      <c r="E214" s="72"/>
      <c r="F214" s="72"/>
      <c r="G214" s="72"/>
      <c r="H214" s="72"/>
      <c r="I214" s="81" t="s">
        <v>25</v>
      </c>
      <c r="J214" s="24" t="s">
        <v>0</v>
      </c>
      <c r="K214" s="27">
        <v>8</v>
      </c>
      <c r="L214" s="31" t="s">
        <v>20</v>
      </c>
    </row>
    <row r="215" spans="1:12" ht="12.75" x14ac:dyDescent="0.2">
      <c r="A215" s="343">
        <f>87+1+1+3</f>
        <v>92</v>
      </c>
      <c r="B215" s="342" t="s">
        <v>60</v>
      </c>
      <c r="C215" s="85"/>
      <c r="D215" s="359">
        <v>6</v>
      </c>
      <c r="E215" s="44"/>
      <c r="F215" s="44"/>
      <c r="G215" s="44"/>
      <c r="H215" s="44"/>
      <c r="I215" s="28" t="s">
        <v>66</v>
      </c>
      <c r="J215" s="36" t="s">
        <v>19</v>
      </c>
      <c r="K215" s="30">
        <v>6</v>
      </c>
      <c r="L215" s="31" t="s">
        <v>20</v>
      </c>
    </row>
    <row r="216" spans="1:12" ht="12.75" x14ac:dyDescent="0.2">
      <c r="A216" s="343"/>
      <c r="B216" s="342"/>
      <c r="C216" s="85" t="s">
        <v>0</v>
      </c>
      <c r="D216" s="360"/>
      <c r="E216" s="44"/>
      <c r="F216" s="77"/>
      <c r="G216" s="77"/>
      <c r="H216" s="77"/>
      <c r="I216" s="81" t="s">
        <v>25</v>
      </c>
      <c r="J216" s="24" t="s">
        <v>0</v>
      </c>
      <c r="K216" s="27">
        <v>6</v>
      </c>
      <c r="L216" s="83" t="s">
        <v>20</v>
      </c>
    </row>
    <row r="217" spans="1:12" ht="12.75" x14ac:dyDescent="0.2">
      <c r="A217" s="350">
        <f>88+1+1+3</f>
        <v>93</v>
      </c>
      <c r="B217" s="351" t="s">
        <v>61</v>
      </c>
      <c r="C217" s="353" t="s">
        <v>19</v>
      </c>
      <c r="D217" s="358">
        <v>7</v>
      </c>
      <c r="E217" s="72"/>
      <c r="F217" s="72"/>
      <c r="G217" s="72"/>
      <c r="H217" s="72"/>
      <c r="I217" s="81" t="s">
        <v>62</v>
      </c>
      <c r="J217" s="24" t="s">
        <v>19</v>
      </c>
      <c r="K217" s="27">
        <v>7</v>
      </c>
      <c r="L217" s="31" t="s">
        <v>20</v>
      </c>
    </row>
    <row r="218" spans="1:12" s="3" customFormat="1" ht="12.75" x14ac:dyDescent="0.2">
      <c r="A218" s="350"/>
      <c r="B218" s="351"/>
      <c r="C218" s="353"/>
      <c r="D218" s="358"/>
      <c r="E218" s="72"/>
      <c r="F218" s="72"/>
      <c r="G218" s="72"/>
      <c r="H218" s="72"/>
      <c r="I218" s="81" t="s">
        <v>63</v>
      </c>
      <c r="J218" s="24" t="s">
        <v>19</v>
      </c>
      <c r="K218" s="27">
        <v>7</v>
      </c>
      <c r="L218" s="31" t="s">
        <v>20</v>
      </c>
    </row>
    <row r="219" spans="1:12" s="3" customFormat="1" ht="21.75" customHeight="1" x14ac:dyDescent="0.25">
      <c r="A219" s="126"/>
      <c r="B219" s="78" t="s">
        <v>78</v>
      </c>
      <c r="C219" s="19"/>
      <c r="D219" s="21"/>
      <c r="E219" s="19"/>
      <c r="F219" s="19"/>
      <c r="G219" s="19"/>
      <c r="H219" s="32"/>
      <c r="I219" s="19"/>
      <c r="J219" s="19"/>
      <c r="K219" s="23"/>
      <c r="L219" s="19"/>
    </row>
    <row r="220" spans="1:12" ht="12.75" x14ac:dyDescent="0.2">
      <c r="A220" s="125">
        <f>89+1+1+3</f>
        <v>94</v>
      </c>
      <c r="B220" s="28" t="s">
        <v>48</v>
      </c>
      <c r="C220" s="31" t="s">
        <v>19</v>
      </c>
      <c r="D220" s="33">
        <v>2</v>
      </c>
      <c r="E220" s="34"/>
      <c r="F220" s="34"/>
      <c r="G220" s="34"/>
      <c r="H220" s="34"/>
      <c r="I220" s="35"/>
      <c r="J220" s="36"/>
      <c r="K220" s="30"/>
      <c r="L220" s="31" t="s">
        <v>20</v>
      </c>
    </row>
    <row r="221" spans="1:12" ht="12.75" x14ac:dyDescent="0.2">
      <c r="A221" s="348">
        <f>90+1+1+3</f>
        <v>95</v>
      </c>
      <c r="B221" s="346" t="s">
        <v>50</v>
      </c>
      <c r="C221" s="352" t="s">
        <v>0</v>
      </c>
      <c r="D221" s="355">
        <v>5</v>
      </c>
      <c r="E221" s="366"/>
      <c r="F221" s="366"/>
      <c r="G221" s="366"/>
      <c r="H221" s="366"/>
      <c r="I221" s="35" t="s">
        <v>51</v>
      </c>
      <c r="J221" s="36" t="s">
        <v>0</v>
      </c>
      <c r="K221" s="30">
        <v>5</v>
      </c>
      <c r="L221" s="31" t="s">
        <v>20</v>
      </c>
    </row>
    <row r="222" spans="1:12" ht="12.75" x14ac:dyDescent="0.2">
      <c r="A222" s="349"/>
      <c r="B222" s="347"/>
      <c r="C222" s="354"/>
      <c r="D222" s="357"/>
      <c r="E222" s="367"/>
      <c r="F222" s="367"/>
      <c r="G222" s="367"/>
      <c r="H222" s="367"/>
      <c r="I222" s="35" t="s">
        <v>57</v>
      </c>
      <c r="J222" s="36" t="s">
        <v>19</v>
      </c>
      <c r="K222" s="30">
        <v>3</v>
      </c>
      <c r="L222" s="31" t="s">
        <v>20</v>
      </c>
    </row>
    <row r="223" spans="1:12" ht="12.75" x14ac:dyDescent="0.2">
      <c r="A223" s="123">
        <f>91+1+1+3</f>
        <v>96</v>
      </c>
      <c r="B223" s="86" t="s">
        <v>69</v>
      </c>
      <c r="C223" s="85" t="s">
        <v>19</v>
      </c>
      <c r="D223" s="90">
        <v>1</v>
      </c>
      <c r="E223" s="89"/>
      <c r="F223" s="89"/>
      <c r="G223" s="89"/>
      <c r="H223" s="89"/>
      <c r="I223" s="35" t="s">
        <v>70</v>
      </c>
      <c r="J223" s="36" t="s">
        <v>19</v>
      </c>
      <c r="K223" s="30">
        <v>2</v>
      </c>
      <c r="L223" s="31" t="s">
        <v>20</v>
      </c>
    </row>
    <row r="224" spans="1:12" ht="25.5" x14ac:dyDescent="0.2">
      <c r="A224" s="124">
        <f>92+1+1+3</f>
        <v>97</v>
      </c>
      <c r="B224" s="74" t="s">
        <v>21</v>
      </c>
      <c r="C224" s="82" t="s">
        <v>0</v>
      </c>
      <c r="D224" s="84">
        <v>78</v>
      </c>
      <c r="E224" s="75"/>
      <c r="F224" s="75"/>
      <c r="G224" s="75"/>
      <c r="H224" s="75"/>
      <c r="I224" s="28" t="s">
        <v>22</v>
      </c>
      <c r="J224" s="36" t="s">
        <v>0</v>
      </c>
      <c r="K224" s="30">
        <v>78</v>
      </c>
      <c r="L224" s="31" t="s">
        <v>20</v>
      </c>
    </row>
    <row r="225" spans="1:12" ht="15" customHeight="1" x14ac:dyDescent="0.2">
      <c r="A225" s="343">
        <f>93+1+1+3</f>
        <v>98</v>
      </c>
      <c r="B225" s="342" t="s">
        <v>23</v>
      </c>
      <c r="C225" s="344" t="s">
        <v>0</v>
      </c>
      <c r="D225" s="345">
        <v>41</v>
      </c>
      <c r="E225" s="172"/>
      <c r="F225" s="172"/>
      <c r="G225" s="172"/>
      <c r="H225" s="172"/>
      <c r="I225" s="155" t="s">
        <v>114</v>
      </c>
      <c r="J225" s="36" t="s">
        <v>115</v>
      </c>
      <c r="K225" s="30">
        <v>1</v>
      </c>
      <c r="L225" s="156" t="s">
        <v>20</v>
      </c>
    </row>
    <row r="226" spans="1:12" ht="25.5" x14ac:dyDescent="0.2">
      <c r="A226" s="343"/>
      <c r="B226" s="342"/>
      <c r="C226" s="344"/>
      <c r="D226" s="345"/>
      <c r="E226" s="49"/>
      <c r="F226" s="49"/>
      <c r="G226" s="49"/>
      <c r="H226" s="49"/>
      <c r="I226" s="28" t="s">
        <v>22</v>
      </c>
      <c r="J226" s="36" t="s">
        <v>0</v>
      </c>
      <c r="K226" s="30">
        <v>41</v>
      </c>
      <c r="L226" s="31" t="s">
        <v>20</v>
      </c>
    </row>
    <row r="227" spans="1:12" ht="12.75" x14ac:dyDescent="0.2">
      <c r="A227" s="348">
        <f>94+1+1+3</f>
        <v>99</v>
      </c>
      <c r="B227" s="346" t="s">
        <v>24</v>
      </c>
      <c r="C227" s="352" t="s">
        <v>19</v>
      </c>
      <c r="D227" s="355">
        <v>1</v>
      </c>
      <c r="E227" s="366"/>
      <c r="F227" s="366"/>
      <c r="G227" s="366"/>
      <c r="H227" s="366"/>
      <c r="I227" s="40" t="s">
        <v>53</v>
      </c>
      <c r="J227" s="24" t="s">
        <v>19</v>
      </c>
      <c r="K227" s="27">
        <v>1</v>
      </c>
      <c r="L227" s="31" t="s">
        <v>20</v>
      </c>
    </row>
    <row r="228" spans="1:12" ht="38.25" x14ac:dyDescent="0.2">
      <c r="A228" s="349"/>
      <c r="B228" s="347"/>
      <c r="C228" s="354"/>
      <c r="D228" s="357"/>
      <c r="E228" s="367"/>
      <c r="F228" s="367"/>
      <c r="G228" s="367"/>
      <c r="H228" s="367"/>
      <c r="I228" s="40" t="s">
        <v>52</v>
      </c>
      <c r="J228" s="24" t="s">
        <v>19</v>
      </c>
      <c r="K228" s="27">
        <v>1</v>
      </c>
      <c r="L228" s="31" t="s">
        <v>20</v>
      </c>
    </row>
    <row r="229" spans="1:12" ht="38.25" x14ac:dyDescent="0.2">
      <c r="A229" s="348">
        <f>95+1+1+3</f>
        <v>100</v>
      </c>
      <c r="B229" s="346" t="s">
        <v>55</v>
      </c>
      <c r="C229" s="352" t="s">
        <v>19</v>
      </c>
      <c r="D229" s="355">
        <v>1</v>
      </c>
      <c r="E229" s="88"/>
      <c r="F229" s="88"/>
      <c r="G229" s="88"/>
      <c r="H229" s="88"/>
      <c r="I229" s="35" t="s">
        <v>54</v>
      </c>
      <c r="J229" s="36" t="s">
        <v>19</v>
      </c>
      <c r="K229" s="30">
        <v>1</v>
      </c>
      <c r="L229" s="31" t="s">
        <v>20</v>
      </c>
    </row>
    <row r="230" spans="1:12" ht="12.75" x14ac:dyDescent="0.2">
      <c r="A230" s="349"/>
      <c r="B230" s="347"/>
      <c r="C230" s="354"/>
      <c r="D230" s="357"/>
      <c r="E230" s="45"/>
      <c r="F230" s="45"/>
      <c r="G230" s="45"/>
      <c r="H230" s="45"/>
      <c r="I230" s="35" t="s">
        <v>53</v>
      </c>
      <c r="J230" s="36" t="s">
        <v>19</v>
      </c>
      <c r="K230" s="30">
        <v>1</v>
      </c>
      <c r="L230" s="31" t="s">
        <v>20</v>
      </c>
    </row>
    <row r="231" spans="1:12" ht="16.5" customHeight="1" x14ac:dyDescent="0.2">
      <c r="A231" s="348">
        <f>96+1+1+3</f>
        <v>101</v>
      </c>
      <c r="B231" s="346" t="s">
        <v>59</v>
      </c>
      <c r="C231" s="352" t="s">
        <v>0</v>
      </c>
      <c r="D231" s="359">
        <v>12</v>
      </c>
      <c r="E231" s="34"/>
      <c r="F231" s="34"/>
      <c r="G231" s="34"/>
      <c r="H231" s="34"/>
      <c r="I231" s="35" t="s">
        <v>114</v>
      </c>
      <c r="J231" s="36" t="s">
        <v>115</v>
      </c>
      <c r="K231" s="30">
        <v>1</v>
      </c>
      <c r="L231" s="156" t="s">
        <v>20</v>
      </c>
    </row>
    <row r="232" spans="1:12" ht="12.75" customHeight="1" x14ac:dyDescent="0.2">
      <c r="A232" s="350"/>
      <c r="B232" s="351"/>
      <c r="C232" s="353"/>
      <c r="D232" s="358"/>
      <c r="E232" s="49"/>
      <c r="F232" s="49"/>
      <c r="G232" s="49"/>
      <c r="H232" s="49"/>
      <c r="I232" s="28" t="s">
        <v>25</v>
      </c>
      <c r="J232" s="36" t="s">
        <v>0</v>
      </c>
      <c r="K232" s="30">
        <v>12</v>
      </c>
      <c r="L232" s="31" t="s">
        <v>20</v>
      </c>
    </row>
    <row r="233" spans="1:12" ht="12.75" x14ac:dyDescent="0.2">
      <c r="A233" s="349"/>
      <c r="B233" s="347"/>
      <c r="C233" s="354"/>
      <c r="D233" s="360"/>
      <c r="E233" s="49"/>
      <c r="F233" s="49"/>
      <c r="G233" s="49"/>
      <c r="H233" s="49"/>
      <c r="I233" s="28" t="s">
        <v>66</v>
      </c>
      <c r="J233" s="36" t="s">
        <v>19</v>
      </c>
      <c r="K233" s="30">
        <v>12</v>
      </c>
      <c r="L233" s="31" t="s">
        <v>20</v>
      </c>
    </row>
    <row r="234" spans="1:12" ht="15.75" x14ac:dyDescent="0.2">
      <c r="A234" s="125">
        <f>97+1+1+3</f>
        <v>102</v>
      </c>
      <c r="B234" s="76" t="s">
        <v>58</v>
      </c>
      <c r="C234" s="85" t="s">
        <v>0</v>
      </c>
      <c r="D234" s="87">
        <v>7</v>
      </c>
      <c r="E234" s="72"/>
      <c r="F234" s="72"/>
      <c r="G234" s="72"/>
      <c r="H234" s="72"/>
      <c r="I234" s="81" t="s">
        <v>25</v>
      </c>
      <c r="J234" s="24" t="s">
        <v>0</v>
      </c>
      <c r="K234" s="27">
        <v>7</v>
      </c>
      <c r="L234" s="31" t="s">
        <v>20</v>
      </c>
    </row>
    <row r="235" spans="1:12" ht="12.75" x14ac:dyDescent="0.2">
      <c r="A235" s="348">
        <f>98+1+1+3</f>
        <v>103</v>
      </c>
      <c r="B235" s="346" t="s">
        <v>60</v>
      </c>
      <c r="C235" s="85"/>
      <c r="D235" s="359">
        <v>3</v>
      </c>
      <c r="E235" s="44"/>
      <c r="F235" s="44"/>
      <c r="G235" s="44"/>
      <c r="H235" s="44"/>
      <c r="I235" s="28" t="s">
        <v>66</v>
      </c>
      <c r="J235" s="36" t="s">
        <v>19</v>
      </c>
      <c r="K235" s="30">
        <v>3</v>
      </c>
      <c r="L235" s="31" t="s">
        <v>20</v>
      </c>
    </row>
    <row r="236" spans="1:12" ht="12.75" x14ac:dyDescent="0.2">
      <c r="A236" s="350"/>
      <c r="B236" s="351"/>
      <c r="C236" s="85" t="s">
        <v>0</v>
      </c>
      <c r="D236" s="360"/>
      <c r="E236" s="44"/>
      <c r="F236" s="77"/>
      <c r="G236" s="77"/>
      <c r="H236" s="77"/>
      <c r="I236" s="81" t="s">
        <v>25</v>
      </c>
      <c r="J236" s="24" t="s">
        <v>0</v>
      </c>
      <c r="K236" s="27">
        <v>3</v>
      </c>
      <c r="L236" s="83" t="s">
        <v>20</v>
      </c>
    </row>
    <row r="237" spans="1:12" ht="12.75" x14ac:dyDescent="0.2">
      <c r="A237" s="343">
        <f>99+1+1+3</f>
        <v>104</v>
      </c>
      <c r="B237" s="342" t="s">
        <v>61</v>
      </c>
      <c r="C237" s="353" t="s">
        <v>19</v>
      </c>
      <c r="D237" s="358">
        <v>4</v>
      </c>
      <c r="E237" s="72"/>
      <c r="F237" s="72"/>
      <c r="G237" s="72"/>
      <c r="H237" s="72"/>
      <c r="I237" s="81" t="s">
        <v>62</v>
      </c>
      <c r="J237" s="24" t="s">
        <v>19</v>
      </c>
      <c r="K237" s="27">
        <v>4</v>
      </c>
      <c r="L237" s="31" t="s">
        <v>20</v>
      </c>
    </row>
    <row r="238" spans="1:12" ht="12.75" x14ac:dyDescent="0.2">
      <c r="A238" s="343"/>
      <c r="B238" s="342"/>
      <c r="C238" s="353"/>
      <c r="D238" s="358"/>
      <c r="E238" s="72"/>
      <c r="F238" s="72"/>
      <c r="G238" s="72"/>
      <c r="H238" s="72"/>
      <c r="I238" s="81" t="s">
        <v>63</v>
      </c>
      <c r="J238" s="24" t="s">
        <v>19</v>
      </c>
      <c r="K238" s="27">
        <v>4</v>
      </c>
      <c r="L238" s="31" t="s">
        <v>20</v>
      </c>
    </row>
    <row r="239" spans="1:12" ht="15.75" x14ac:dyDescent="0.25">
      <c r="A239" s="126"/>
      <c r="B239" s="78" t="s">
        <v>79</v>
      </c>
      <c r="C239" s="19"/>
      <c r="D239" s="21"/>
      <c r="E239" s="19"/>
      <c r="F239" s="19"/>
      <c r="G239" s="19"/>
      <c r="H239" s="32"/>
      <c r="I239" s="19"/>
      <c r="J239" s="19"/>
      <c r="K239" s="23"/>
      <c r="L239" s="19"/>
    </row>
    <row r="240" spans="1:12" ht="12.75" x14ac:dyDescent="0.2">
      <c r="A240" s="125">
        <f>100+1+1+3</f>
        <v>105</v>
      </c>
      <c r="B240" s="28" t="s">
        <v>48</v>
      </c>
      <c r="C240" s="31" t="s">
        <v>19</v>
      </c>
      <c r="D240" s="33">
        <v>2</v>
      </c>
      <c r="E240" s="34"/>
      <c r="F240" s="34"/>
      <c r="G240" s="34"/>
      <c r="H240" s="34"/>
      <c r="I240" s="35"/>
      <c r="J240" s="36"/>
      <c r="K240" s="30"/>
      <c r="L240" s="31" t="s">
        <v>20</v>
      </c>
    </row>
    <row r="241" spans="1:12" ht="12.75" x14ac:dyDescent="0.2">
      <c r="A241" s="348">
        <f>101+1+1+3</f>
        <v>106</v>
      </c>
      <c r="B241" s="346" t="s">
        <v>50</v>
      </c>
      <c r="C241" s="352" t="s">
        <v>0</v>
      </c>
      <c r="D241" s="355">
        <v>3</v>
      </c>
      <c r="E241" s="366"/>
      <c r="F241" s="366"/>
      <c r="G241" s="366"/>
      <c r="H241" s="366"/>
      <c r="I241" s="35" t="s">
        <v>51</v>
      </c>
      <c r="J241" s="36" t="s">
        <v>0</v>
      </c>
      <c r="K241" s="30">
        <v>3</v>
      </c>
      <c r="L241" s="31" t="s">
        <v>20</v>
      </c>
    </row>
    <row r="242" spans="1:12" ht="12.75" x14ac:dyDescent="0.2">
      <c r="A242" s="349"/>
      <c r="B242" s="347"/>
      <c r="C242" s="354"/>
      <c r="D242" s="357"/>
      <c r="E242" s="367"/>
      <c r="F242" s="367"/>
      <c r="G242" s="367"/>
      <c r="H242" s="367"/>
      <c r="I242" s="35" t="s">
        <v>57</v>
      </c>
      <c r="J242" s="36" t="s">
        <v>19</v>
      </c>
      <c r="K242" s="30">
        <v>1</v>
      </c>
      <c r="L242" s="31" t="s">
        <v>20</v>
      </c>
    </row>
    <row r="243" spans="1:12" ht="25.5" x14ac:dyDescent="0.2">
      <c r="A243" s="124">
        <f>102+1+1+3</f>
        <v>107</v>
      </c>
      <c r="B243" s="74" t="s">
        <v>21</v>
      </c>
      <c r="C243" s="82" t="s">
        <v>0</v>
      </c>
      <c r="D243" s="84">
        <v>58</v>
      </c>
      <c r="E243" s="75"/>
      <c r="F243" s="75"/>
      <c r="G243" s="75"/>
      <c r="H243" s="75"/>
      <c r="I243" s="28" t="s">
        <v>22</v>
      </c>
      <c r="J243" s="36" t="s">
        <v>0</v>
      </c>
      <c r="K243" s="30">
        <v>58</v>
      </c>
      <c r="L243" s="31" t="s">
        <v>20</v>
      </c>
    </row>
    <row r="244" spans="1:12" ht="15" customHeight="1" x14ac:dyDescent="0.2">
      <c r="A244" s="343">
        <f>103+1+1+3</f>
        <v>108</v>
      </c>
      <c r="B244" s="342" t="s">
        <v>23</v>
      </c>
      <c r="C244" s="344" t="s">
        <v>0</v>
      </c>
      <c r="D244" s="345">
        <v>16</v>
      </c>
      <c r="E244" s="172"/>
      <c r="F244" s="172"/>
      <c r="G244" s="172"/>
      <c r="H244" s="172"/>
      <c r="I244" s="155" t="s">
        <v>114</v>
      </c>
      <c r="J244" s="36" t="s">
        <v>115</v>
      </c>
      <c r="K244" s="30">
        <v>1</v>
      </c>
      <c r="L244" s="156" t="s">
        <v>20</v>
      </c>
    </row>
    <row r="245" spans="1:12" ht="25.5" x14ac:dyDescent="0.2">
      <c r="A245" s="343"/>
      <c r="B245" s="342"/>
      <c r="C245" s="344"/>
      <c r="D245" s="345"/>
      <c r="E245" s="49"/>
      <c r="F245" s="49"/>
      <c r="G245" s="49"/>
      <c r="H245" s="49"/>
      <c r="I245" s="28" t="s">
        <v>22</v>
      </c>
      <c r="J245" s="36" t="s">
        <v>0</v>
      </c>
      <c r="K245" s="30">
        <v>16</v>
      </c>
      <c r="L245" s="31" t="s">
        <v>20</v>
      </c>
    </row>
    <row r="246" spans="1:12" ht="12.75" x14ac:dyDescent="0.2">
      <c r="A246" s="348">
        <f>104+1+1+3</f>
        <v>109</v>
      </c>
      <c r="B246" s="346" t="s">
        <v>24</v>
      </c>
      <c r="C246" s="352" t="s">
        <v>19</v>
      </c>
      <c r="D246" s="355">
        <v>1</v>
      </c>
      <c r="E246" s="366"/>
      <c r="F246" s="366"/>
      <c r="G246" s="366"/>
      <c r="H246" s="366"/>
      <c r="I246" s="40" t="s">
        <v>53</v>
      </c>
      <c r="J246" s="24" t="s">
        <v>19</v>
      </c>
      <c r="K246" s="27">
        <v>1</v>
      </c>
      <c r="L246" s="31" t="s">
        <v>20</v>
      </c>
    </row>
    <row r="247" spans="1:12" ht="38.25" x14ac:dyDescent="0.2">
      <c r="A247" s="349"/>
      <c r="B247" s="347"/>
      <c r="C247" s="354"/>
      <c r="D247" s="357"/>
      <c r="E247" s="367"/>
      <c r="F247" s="367"/>
      <c r="G247" s="367"/>
      <c r="H247" s="367"/>
      <c r="I247" s="40" t="s">
        <v>52</v>
      </c>
      <c r="J247" s="24" t="s">
        <v>19</v>
      </c>
      <c r="K247" s="27">
        <v>1</v>
      </c>
      <c r="L247" s="31" t="s">
        <v>20</v>
      </c>
    </row>
    <row r="248" spans="1:12" ht="16.5" customHeight="1" x14ac:dyDescent="0.2">
      <c r="A248" s="348">
        <f>105+1+1+3</f>
        <v>110</v>
      </c>
      <c r="B248" s="346" t="s">
        <v>59</v>
      </c>
      <c r="C248" s="352" t="s">
        <v>0</v>
      </c>
      <c r="D248" s="359">
        <v>3</v>
      </c>
      <c r="E248" s="173"/>
      <c r="F248" s="173"/>
      <c r="G248" s="173"/>
      <c r="H248" s="173"/>
      <c r="I248" s="40" t="s">
        <v>114</v>
      </c>
      <c r="J248" s="24" t="s">
        <v>115</v>
      </c>
      <c r="K248" s="27">
        <v>1</v>
      </c>
      <c r="L248" s="156" t="s">
        <v>20</v>
      </c>
    </row>
    <row r="249" spans="1:12" ht="12.75" customHeight="1" x14ac:dyDescent="0.2">
      <c r="A249" s="350"/>
      <c r="B249" s="351"/>
      <c r="C249" s="353"/>
      <c r="D249" s="358"/>
      <c r="E249" s="49"/>
      <c r="F249" s="49"/>
      <c r="G249" s="49"/>
      <c r="H249" s="49"/>
      <c r="I249" s="28" t="s">
        <v>25</v>
      </c>
      <c r="J249" s="36" t="s">
        <v>0</v>
      </c>
      <c r="K249" s="30">
        <v>3</v>
      </c>
      <c r="L249" s="31" t="s">
        <v>20</v>
      </c>
    </row>
    <row r="250" spans="1:12" ht="12.75" x14ac:dyDescent="0.2">
      <c r="A250" s="350"/>
      <c r="B250" s="347"/>
      <c r="C250" s="354"/>
      <c r="D250" s="360"/>
      <c r="E250" s="49"/>
      <c r="F250" s="49"/>
      <c r="G250" s="49"/>
      <c r="H250" s="49"/>
      <c r="I250" s="28" t="s">
        <v>66</v>
      </c>
      <c r="J250" s="36" t="s">
        <v>19</v>
      </c>
      <c r="K250" s="30">
        <v>3</v>
      </c>
      <c r="L250" s="31" t="s">
        <v>20</v>
      </c>
    </row>
    <row r="251" spans="1:12" ht="15.75" x14ac:dyDescent="0.2">
      <c r="A251" s="123">
        <f>106+1+1+3</f>
        <v>111</v>
      </c>
      <c r="B251" s="76" t="s">
        <v>58</v>
      </c>
      <c r="C251" s="85" t="s">
        <v>0</v>
      </c>
      <c r="D251" s="87">
        <v>5</v>
      </c>
      <c r="E251" s="72"/>
      <c r="F251" s="72"/>
      <c r="G251" s="72"/>
      <c r="H251" s="72"/>
      <c r="I251" s="81" t="s">
        <v>25</v>
      </c>
      <c r="J251" s="24" t="s">
        <v>0</v>
      </c>
      <c r="K251" s="27">
        <v>5</v>
      </c>
      <c r="L251" s="31" t="s">
        <v>20</v>
      </c>
    </row>
    <row r="252" spans="1:12" ht="12.75" x14ac:dyDescent="0.2">
      <c r="A252" s="350">
        <f>107+1+1+3</f>
        <v>112</v>
      </c>
      <c r="B252" s="346" t="s">
        <v>60</v>
      </c>
      <c r="C252" s="85"/>
      <c r="D252" s="359">
        <v>3</v>
      </c>
      <c r="E252" s="44"/>
      <c r="F252" s="44"/>
      <c r="G252" s="44"/>
      <c r="H252" s="44"/>
      <c r="I252" s="28" t="s">
        <v>66</v>
      </c>
      <c r="J252" s="36" t="s">
        <v>19</v>
      </c>
      <c r="K252" s="30">
        <v>3</v>
      </c>
      <c r="L252" s="31" t="s">
        <v>20</v>
      </c>
    </row>
    <row r="253" spans="1:12" ht="12.75" x14ac:dyDescent="0.2">
      <c r="A253" s="350"/>
      <c r="B253" s="351"/>
      <c r="C253" s="85" t="s">
        <v>0</v>
      </c>
      <c r="D253" s="360"/>
      <c r="E253" s="44"/>
      <c r="F253" s="77"/>
      <c r="G253" s="77"/>
      <c r="H253" s="77"/>
      <c r="I253" s="81" t="s">
        <v>25</v>
      </c>
      <c r="J253" s="24" t="s">
        <v>0</v>
      </c>
      <c r="K253" s="27">
        <v>3</v>
      </c>
      <c r="L253" s="83" t="s">
        <v>20</v>
      </c>
    </row>
    <row r="254" spans="1:12" ht="12.75" x14ac:dyDescent="0.2">
      <c r="A254" s="350">
        <f>108+1+1+3</f>
        <v>113</v>
      </c>
      <c r="B254" s="351" t="s">
        <v>61</v>
      </c>
      <c r="C254" s="353" t="s">
        <v>19</v>
      </c>
      <c r="D254" s="358">
        <v>3</v>
      </c>
      <c r="E254" s="72"/>
      <c r="F254" s="72"/>
      <c r="G254" s="72"/>
      <c r="H254" s="72"/>
      <c r="I254" s="81" t="s">
        <v>62</v>
      </c>
      <c r="J254" s="24" t="s">
        <v>19</v>
      </c>
      <c r="K254" s="27">
        <v>3</v>
      </c>
      <c r="L254" s="31" t="s">
        <v>20</v>
      </c>
    </row>
    <row r="255" spans="1:12" ht="12.75" x14ac:dyDescent="0.2">
      <c r="A255" s="350"/>
      <c r="B255" s="351"/>
      <c r="C255" s="353"/>
      <c r="D255" s="358"/>
      <c r="E255" s="72"/>
      <c r="F255" s="72"/>
      <c r="G255" s="72"/>
      <c r="H255" s="72"/>
      <c r="I255" s="81" t="s">
        <v>63</v>
      </c>
      <c r="J255" s="24" t="s">
        <v>19</v>
      </c>
      <c r="K255" s="27">
        <v>3</v>
      </c>
      <c r="L255" s="31" t="s">
        <v>20</v>
      </c>
    </row>
    <row r="256" spans="1:12" s="3" customFormat="1" ht="15.75" x14ac:dyDescent="0.25">
      <c r="A256" s="126"/>
      <c r="B256" s="78" t="s">
        <v>80</v>
      </c>
      <c r="C256" s="19"/>
      <c r="D256" s="21"/>
      <c r="E256" s="19"/>
      <c r="F256" s="19"/>
      <c r="G256" s="19"/>
      <c r="H256" s="32"/>
      <c r="I256" s="19"/>
      <c r="J256" s="19"/>
      <c r="K256" s="23"/>
      <c r="L256" s="19"/>
    </row>
    <row r="257" spans="1:12" s="3" customFormat="1" ht="21.75" customHeight="1" x14ac:dyDescent="0.2">
      <c r="A257" s="125">
        <f>109+1+1+3</f>
        <v>114</v>
      </c>
      <c r="B257" s="28" t="s">
        <v>48</v>
      </c>
      <c r="C257" s="31" t="s">
        <v>19</v>
      </c>
      <c r="D257" s="33">
        <v>2</v>
      </c>
      <c r="E257" s="34"/>
      <c r="F257" s="34"/>
      <c r="G257" s="34"/>
      <c r="H257" s="34"/>
      <c r="I257" s="35"/>
      <c r="J257" s="36"/>
      <c r="K257" s="30"/>
      <c r="L257" s="31" t="s">
        <v>20</v>
      </c>
    </row>
    <row r="258" spans="1:12" ht="12.75" x14ac:dyDescent="0.2">
      <c r="A258" s="348">
        <f>110+1+1+3</f>
        <v>115</v>
      </c>
      <c r="B258" s="346" t="s">
        <v>50</v>
      </c>
      <c r="C258" s="352" t="s">
        <v>0</v>
      </c>
      <c r="D258" s="355">
        <v>5</v>
      </c>
      <c r="E258" s="366"/>
      <c r="F258" s="366"/>
      <c r="G258" s="366"/>
      <c r="H258" s="366"/>
      <c r="I258" s="35" t="s">
        <v>51</v>
      </c>
      <c r="J258" s="36" t="s">
        <v>0</v>
      </c>
      <c r="K258" s="30">
        <v>5</v>
      </c>
      <c r="L258" s="31" t="s">
        <v>20</v>
      </c>
    </row>
    <row r="259" spans="1:12" ht="25.5" x14ac:dyDescent="0.2">
      <c r="A259" s="350"/>
      <c r="B259" s="351"/>
      <c r="C259" s="353"/>
      <c r="D259" s="356"/>
      <c r="E259" s="374"/>
      <c r="F259" s="374"/>
      <c r="G259" s="374"/>
      <c r="H259" s="374"/>
      <c r="I259" s="35" t="s">
        <v>56</v>
      </c>
      <c r="J259" s="36" t="s">
        <v>19</v>
      </c>
      <c r="K259" s="30">
        <v>1</v>
      </c>
      <c r="L259" s="31" t="s">
        <v>20</v>
      </c>
    </row>
    <row r="260" spans="1:12" ht="12.75" x14ac:dyDescent="0.2">
      <c r="A260" s="349"/>
      <c r="B260" s="347"/>
      <c r="C260" s="354"/>
      <c r="D260" s="357"/>
      <c r="E260" s="367"/>
      <c r="F260" s="367"/>
      <c r="G260" s="367"/>
      <c r="H260" s="367"/>
      <c r="I260" s="35" t="s">
        <v>57</v>
      </c>
      <c r="J260" s="36" t="s">
        <v>19</v>
      </c>
      <c r="K260" s="30">
        <v>1</v>
      </c>
      <c r="L260" s="31" t="s">
        <v>20</v>
      </c>
    </row>
    <row r="261" spans="1:12" ht="12.75" x14ac:dyDescent="0.2">
      <c r="A261" s="123">
        <f>111+1+1+3</f>
        <v>116</v>
      </c>
      <c r="B261" s="86" t="s">
        <v>69</v>
      </c>
      <c r="C261" s="85" t="s">
        <v>19</v>
      </c>
      <c r="D261" s="90">
        <v>1</v>
      </c>
      <c r="E261" s="89"/>
      <c r="F261" s="89"/>
      <c r="G261" s="89"/>
      <c r="H261" s="89"/>
      <c r="I261" s="35" t="s">
        <v>70</v>
      </c>
      <c r="J261" s="36" t="s">
        <v>19</v>
      </c>
      <c r="K261" s="30">
        <v>1</v>
      </c>
      <c r="L261" s="31" t="s">
        <v>20</v>
      </c>
    </row>
    <row r="262" spans="1:12" ht="25.5" x14ac:dyDescent="0.2">
      <c r="A262" s="124">
        <f>112+1+1+3</f>
        <v>117</v>
      </c>
      <c r="B262" s="74" t="s">
        <v>21</v>
      </c>
      <c r="C262" s="82" t="s">
        <v>0</v>
      </c>
      <c r="D262" s="84">
        <v>71</v>
      </c>
      <c r="E262" s="75"/>
      <c r="F262" s="75"/>
      <c r="G262" s="75"/>
      <c r="H262" s="75"/>
      <c r="I262" s="28" t="s">
        <v>22</v>
      </c>
      <c r="J262" s="36" t="s">
        <v>0</v>
      </c>
      <c r="K262" s="30">
        <v>71</v>
      </c>
      <c r="L262" s="31" t="s">
        <v>20</v>
      </c>
    </row>
    <row r="263" spans="1:12" ht="15" customHeight="1" x14ac:dyDescent="0.2">
      <c r="A263" s="343">
        <f>113+1+1+3</f>
        <v>118</v>
      </c>
      <c r="B263" s="342" t="s">
        <v>23</v>
      </c>
      <c r="C263" s="352" t="s">
        <v>0</v>
      </c>
      <c r="D263" s="359">
        <v>24</v>
      </c>
      <c r="E263" s="172"/>
      <c r="F263" s="172"/>
      <c r="G263" s="172"/>
      <c r="H263" s="172"/>
      <c r="I263" s="155" t="s">
        <v>114</v>
      </c>
      <c r="J263" s="36" t="s">
        <v>115</v>
      </c>
      <c r="K263" s="30">
        <v>1</v>
      </c>
      <c r="L263" s="156" t="s">
        <v>20</v>
      </c>
    </row>
    <row r="264" spans="1:12" ht="25.5" x14ac:dyDescent="0.2">
      <c r="A264" s="343"/>
      <c r="B264" s="342"/>
      <c r="C264" s="354"/>
      <c r="D264" s="360"/>
      <c r="E264" s="49"/>
      <c r="F264" s="49"/>
      <c r="G264" s="49"/>
      <c r="H264" s="49"/>
      <c r="I264" s="28" t="s">
        <v>22</v>
      </c>
      <c r="J264" s="36" t="s">
        <v>0</v>
      </c>
      <c r="K264" s="30">
        <v>24</v>
      </c>
      <c r="L264" s="31" t="s">
        <v>20</v>
      </c>
    </row>
    <row r="265" spans="1:12" ht="12.75" x14ac:dyDescent="0.2">
      <c r="A265" s="348">
        <f>114+1+1+3</f>
        <v>119</v>
      </c>
      <c r="B265" s="346" t="s">
        <v>24</v>
      </c>
      <c r="C265" s="352" t="s">
        <v>19</v>
      </c>
      <c r="D265" s="355">
        <v>1</v>
      </c>
      <c r="E265" s="366"/>
      <c r="F265" s="366"/>
      <c r="G265" s="366"/>
      <c r="H265" s="366"/>
      <c r="I265" s="40" t="s">
        <v>53</v>
      </c>
      <c r="J265" s="24" t="s">
        <v>19</v>
      </c>
      <c r="K265" s="27">
        <v>1</v>
      </c>
      <c r="L265" s="31" t="s">
        <v>20</v>
      </c>
    </row>
    <row r="266" spans="1:12" ht="38.25" x14ac:dyDescent="0.2">
      <c r="A266" s="349"/>
      <c r="B266" s="347"/>
      <c r="C266" s="354"/>
      <c r="D266" s="357"/>
      <c r="E266" s="367"/>
      <c r="F266" s="367"/>
      <c r="G266" s="367"/>
      <c r="H266" s="367"/>
      <c r="I266" s="40" t="s">
        <v>52</v>
      </c>
      <c r="J266" s="24" t="s">
        <v>19</v>
      </c>
      <c r="K266" s="27">
        <v>1</v>
      </c>
      <c r="L266" s="31" t="s">
        <v>20</v>
      </c>
    </row>
    <row r="267" spans="1:12" ht="38.25" x14ac:dyDescent="0.2">
      <c r="A267" s="348">
        <f>115+1+1+3</f>
        <v>120</v>
      </c>
      <c r="B267" s="346" t="s">
        <v>55</v>
      </c>
      <c r="C267" s="352" t="s">
        <v>19</v>
      </c>
      <c r="D267" s="355">
        <v>1</v>
      </c>
      <c r="E267" s="88"/>
      <c r="F267" s="88"/>
      <c r="G267" s="88"/>
      <c r="H267" s="88"/>
      <c r="I267" s="35" t="s">
        <v>54</v>
      </c>
      <c r="J267" s="36" t="s">
        <v>19</v>
      </c>
      <c r="K267" s="30">
        <v>1</v>
      </c>
      <c r="L267" s="31" t="s">
        <v>20</v>
      </c>
    </row>
    <row r="268" spans="1:12" ht="12.75" x14ac:dyDescent="0.2">
      <c r="A268" s="349"/>
      <c r="B268" s="347"/>
      <c r="C268" s="354"/>
      <c r="D268" s="357"/>
      <c r="E268" s="45"/>
      <c r="F268" s="45"/>
      <c r="G268" s="45"/>
      <c r="H268" s="45"/>
      <c r="I268" s="35" t="s">
        <v>53</v>
      </c>
      <c r="J268" s="36" t="s">
        <v>19</v>
      </c>
      <c r="K268" s="30">
        <v>1</v>
      </c>
      <c r="L268" s="31" t="s">
        <v>20</v>
      </c>
    </row>
    <row r="269" spans="1:12" ht="16.5" customHeight="1" x14ac:dyDescent="0.2">
      <c r="A269" s="343">
        <f>116+1+1+3</f>
        <v>121</v>
      </c>
      <c r="B269" s="342" t="s">
        <v>59</v>
      </c>
      <c r="C269" s="344" t="s">
        <v>0</v>
      </c>
      <c r="D269" s="345">
        <v>3</v>
      </c>
      <c r="E269" s="34"/>
      <c r="F269" s="34"/>
      <c r="G269" s="34"/>
      <c r="H269" s="34"/>
      <c r="I269" s="35" t="s">
        <v>114</v>
      </c>
      <c r="J269" s="36" t="s">
        <v>115</v>
      </c>
      <c r="K269" s="30">
        <v>1</v>
      </c>
      <c r="L269" s="156" t="s">
        <v>20</v>
      </c>
    </row>
    <row r="270" spans="1:12" ht="12.75" customHeight="1" x14ac:dyDescent="0.2">
      <c r="A270" s="343"/>
      <c r="B270" s="342"/>
      <c r="C270" s="344"/>
      <c r="D270" s="345"/>
      <c r="E270" s="49"/>
      <c r="F270" s="49"/>
      <c r="G270" s="49"/>
      <c r="H270" s="49"/>
      <c r="I270" s="28" t="s">
        <v>25</v>
      </c>
      <c r="J270" s="36" t="s">
        <v>0</v>
      </c>
      <c r="K270" s="30">
        <v>3</v>
      </c>
      <c r="L270" s="31" t="s">
        <v>20</v>
      </c>
    </row>
    <row r="271" spans="1:12" ht="12.75" x14ac:dyDescent="0.2">
      <c r="A271" s="343"/>
      <c r="B271" s="342"/>
      <c r="C271" s="344"/>
      <c r="D271" s="345"/>
      <c r="E271" s="49"/>
      <c r="F271" s="49"/>
      <c r="G271" s="49"/>
      <c r="H271" s="49"/>
      <c r="I271" s="28" t="s">
        <v>66</v>
      </c>
      <c r="J271" s="36" t="s">
        <v>19</v>
      </c>
      <c r="K271" s="30">
        <v>3</v>
      </c>
      <c r="L271" s="31" t="s">
        <v>20</v>
      </c>
    </row>
    <row r="272" spans="1:12" ht="15.75" x14ac:dyDescent="0.2">
      <c r="A272" s="158">
        <f>117+1+1+3</f>
        <v>122</v>
      </c>
      <c r="B272" s="76" t="s">
        <v>58</v>
      </c>
      <c r="C272" s="85" t="s">
        <v>0</v>
      </c>
      <c r="D272" s="87">
        <v>7</v>
      </c>
      <c r="E272" s="72"/>
      <c r="F272" s="72"/>
      <c r="G272" s="72"/>
      <c r="H272" s="72"/>
      <c r="I272" s="81" t="s">
        <v>25</v>
      </c>
      <c r="J272" s="24" t="s">
        <v>0</v>
      </c>
      <c r="K272" s="27">
        <v>7</v>
      </c>
      <c r="L272" s="31" t="s">
        <v>20</v>
      </c>
    </row>
    <row r="273" spans="1:12" ht="12.75" x14ac:dyDescent="0.2">
      <c r="A273" s="343">
        <f>118+1+1+3</f>
        <v>123</v>
      </c>
      <c r="B273" s="346" t="s">
        <v>60</v>
      </c>
      <c r="C273" s="85"/>
      <c r="D273" s="359">
        <v>5</v>
      </c>
      <c r="E273" s="44"/>
      <c r="F273" s="44"/>
      <c r="G273" s="44"/>
      <c r="H273" s="44"/>
      <c r="I273" s="28" t="s">
        <v>66</v>
      </c>
      <c r="J273" s="36" t="s">
        <v>19</v>
      </c>
      <c r="K273" s="30">
        <v>5</v>
      </c>
      <c r="L273" s="31" t="s">
        <v>20</v>
      </c>
    </row>
    <row r="274" spans="1:12" ht="12.75" x14ac:dyDescent="0.2">
      <c r="A274" s="343"/>
      <c r="B274" s="351"/>
      <c r="C274" s="85" t="s">
        <v>0</v>
      </c>
      <c r="D274" s="360"/>
      <c r="E274" s="44"/>
      <c r="F274" s="77"/>
      <c r="G274" s="77"/>
      <c r="H274" s="77"/>
      <c r="I274" s="81" t="s">
        <v>25</v>
      </c>
      <c r="J274" s="24" t="s">
        <v>0</v>
      </c>
      <c r="K274" s="27">
        <v>5</v>
      </c>
      <c r="L274" s="83" t="s">
        <v>20</v>
      </c>
    </row>
    <row r="275" spans="1:12" ht="12.75" x14ac:dyDescent="0.2">
      <c r="A275" s="343">
        <f>119+1+1+3</f>
        <v>124</v>
      </c>
      <c r="B275" s="351" t="s">
        <v>61</v>
      </c>
      <c r="C275" s="353" t="s">
        <v>19</v>
      </c>
      <c r="D275" s="358">
        <v>4</v>
      </c>
      <c r="E275" s="72"/>
      <c r="F275" s="72"/>
      <c r="G275" s="72"/>
      <c r="H275" s="72"/>
      <c r="I275" s="81" t="s">
        <v>62</v>
      </c>
      <c r="J275" s="24" t="s">
        <v>19</v>
      </c>
      <c r="K275" s="27">
        <v>4</v>
      </c>
      <c r="L275" s="31" t="s">
        <v>20</v>
      </c>
    </row>
    <row r="276" spans="1:12" ht="12.75" x14ac:dyDescent="0.2">
      <c r="A276" s="343"/>
      <c r="B276" s="351"/>
      <c r="C276" s="353"/>
      <c r="D276" s="358"/>
      <c r="E276" s="72"/>
      <c r="F276" s="72"/>
      <c r="G276" s="72"/>
      <c r="H276" s="72"/>
      <c r="I276" s="81" t="s">
        <v>63</v>
      </c>
      <c r="J276" s="24" t="s">
        <v>19</v>
      </c>
      <c r="K276" s="27">
        <v>4</v>
      </c>
      <c r="L276" s="31" t="s">
        <v>20</v>
      </c>
    </row>
    <row r="277" spans="1:12" ht="15.75" x14ac:dyDescent="0.25">
      <c r="A277" s="126"/>
      <c r="B277" s="78" t="s">
        <v>81</v>
      </c>
      <c r="C277" s="19"/>
      <c r="D277" s="21"/>
      <c r="E277" s="19"/>
      <c r="F277" s="19"/>
      <c r="G277" s="19"/>
      <c r="H277" s="32"/>
      <c r="I277" s="19"/>
      <c r="J277" s="19"/>
      <c r="K277" s="23"/>
      <c r="L277" s="19"/>
    </row>
    <row r="278" spans="1:12" s="3" customFormat="1" ht="12.75" x14ac:dyDescent="0.2">
      <c r="A278" s="125">
        <f>120+1+1+3</f>
        <v>125</v>
      </c>
      <c r="B278" s="28" t="s">
        <v>48</v>
      </c>
      <c r="C278" s="31" t="s">
        <v>19</v>
      </c>
      <c r="D278" s="33">
        <v>3</v>
      </c>
      <c r="E278" s="34"/>
      <c r="F278" s="34"/>
      <c r="G278" s="34"/>
      <c r="H278" s="34"/>
      <c r="I278" s="35"/>
      <c r="J278" s="36"/>
      <c r="K278" s="30"/>
      <c r="L278" s="31" t="s">
        <v>20</v>
      </c>
    </row>
    <row r="279" spans="1:12" s="3" customFormat="1" ht="21.75" customHeight="1" x14ac:dyDescent="0.2">
      <c r="A279" s="348">
        <f>121+1+1+3</f>
        <v>126</v>
      </c>
      <c r="B279" s="346" t="s">
        <v>50</v>
      </c>
      <c r="C279" s="352" t="s">
        <v>0</v>
      </c>
      <c r="D279" s="355">
        <v>16</v>
      </c>
      <c r="E279" s="366"/>
      <c r="F279" s="366"/>
      <c r="G279" s="366"/>
      <c r="H279" s="366"/>
      <c r="I279" s="35" t="s">
        <v>51</v>
      </c>
      <c r="J279" s="36" t="s">
        <v>0</v>
      </c>
      <c r="K279" s="30">
        <v>16</v>
      </c>
      <c r="L279" s="31" t="s">
        <v>20</v>
      </c>
    </row>
    <row r="280" spans="1:12" ht="25.5" x14ac:dyDescent="0.2">
      <c r="A280" s="350"/>
      <c r="B280" s="351"/>
      <c r="C280" s="353"/>
      <c r="D280" s="356"/>
      <c r="E280" s="374"/>
      <c r="F280" s="374"/>
      <c r="G280" s="374"/>
      <c r="H280" s="374"/>
      <c r="I280" s="35" t="s">
        <v>56</v>
      </c>
      <c r="J280" s="36" t="s">
        <v>19</v>
      </c>
      <c r="K280" s="30">
        <v>2</v>
      </c>
      <c r="L280" s="31" t="s">
        <v>20</v>
      </c>
    </row>
    <row r="281" spans="1:12" ht="12.75" x14ac:dyDescent="0.2">
      <c r="A281" s="350"/>
      <c r="B281" s="351"/>
      <c r="C281" s="353"/>
      <c r="D281" s="356"/>
      <c r="E281" s="374"/>
      <c r="F281" s="374"/>
      <c r="G281" s="374"/>
      <c r="H281" s="374"/>
      <c r="I281" s="35" t="s">
        <v>71</v>
      </c>
      <c r="J281" s="36" t="s">
        <v>19</v>
      </c>
      <c r="K281" s="30">
        <v>2</v>
      </c>
      <c r="L281" s="31" t="s">
        <v>20</v>
      </c>
    </row>
    <row r="282" spans="1:12" ht="12.75" x14ac:dyDescent="0.2">
      <c r="A282" s="349"/>
      <c r="B282" s="347"/>
      <c r="C282" s="354"/>
      <c r="D282" s="357"/>
      <c r="E282" s="367"/>
      <c r="F282" s="367"/>
      <c r="G282" s="367"/>
      <c r="H282" s="367"/>
      <c r="I282" s="35" t="s">
        <v>57</v>
      </c>
      <c r="J282" s="36" t="s">
        <v>19</v>
      </c>
      <c r="K282" s="30">
        <v>3</v>
      </c>
      <c r="L282" s="31" t="s">
        <v>20</v>
      </c>
    </row>
    <row r="283" spans="1:12" ht="12.75" x14ac:dyDescent="0.2">
      <c r="A283" s="123">
        <f>122+1+1+3</f>
        <v>127</v>
      </c>
      <c r="B283" s="86" t="s">
        <v>69</v>
      </c>
      <c r="C283" s="85" t="s">
        <v>19</v>
      </c>
      <c r="D283" s="90">
        <v>2</v>
      </c>
      <c r="E283" s="89"/>
      <c r="F283" s="89"/>
      <c r="G283" s="89"/>
      <c r="H283" s="89"/>
      <c r="I283" s="35" t="s">
        <v>70</v>
      </c>
      <c r="J283" s="36" t="s">
        <v>19</v>
      </c>
      <c r="K283" s="30">
        <v>2</v>
      </c>
      <c r="L283" s="31" t="s">
        <v>20</v>
      </c>
    </row>
    <row r="284" spans="1:12" ht="25.5" x14ac:dyDescent="0.2">
      <c r="A284" s="124">
        <f>123+1+1+3</f>
        <v>128</v>
      </c>
      <c r="B284" s="74" t="s">
        <v>21</v>
      </c>
      <c r="C284" s="82" t="s">
        <v>0</v>
      </c>
      <c r="D284" s="84">
        <v>297</v>
      </c>
      <c r="E284" s="75"/>
      <c r="F284" s="75"/>
      <c r="G284" s="75"/>
      <c r="H284" s="75"/>
      <c r="I284" s="28" t="s">
        <v>22</v>
      </c>
      <c r="J284" s="36" t="s">
        <v>0</v>
      </c>
      <c r="K284" s="30">
        <v>297</v>
      </c>
      <c r="L284" s="31" t="s">
        <v>20</v>
      </c>
    </row>
    <row r="285" spans="1:12" ht="15" customHeight="1" x14ac:dyDescent="0.2">
      <c r="A285" s="343">
        <f>124+1+1+3</f>
        <v>129</v>
      </c>
      <c r="B285" s="342" t="s">
        <v>23</v>
      </c>
      <c r="C285" s="344" t="s">
        <v>0</v>
      </c>
      <c r="D285" s="345">
        <v>105</v>
      </c>
      <c r="E285" s="172"/>
      <c r="F285" s="172"/>
      <c r="G285" s="172"/>
      <c r="H285" s="172"/>
      <c r="I285" s="155" t="s">
        <v>114</v>
      </c>
      <c r="J285" s="36" t="s">
        <v>115</v>
      </c>
      <c r="K285" s="30">
        <v>1</v>
      </c>
      <c r="L285" s="156" t="s">
        <v>20</v>
      </c>
    </row>
    <row r="286" spans="1:12" ht="25.5" x14ac:dyDescent="0.2">
      <c r="A286" s="343"/>
      <c r="B286" s="342"/>
      <c r="C286" s="344"/>
      <c r="D286" s="345"/>
      <c r="E286" s="49"/>
      <c r="F286" s="49"/>
      <c r="G286" s="49"/>
      <c r="H286" s="49"/>
      <c r="I286" s="28" t="s">
        <v>22</v>
      </c>
      <c r="J286" s="36" t="s">
        <v>0</v>
      </c>
      <c r="K286" s="30">
        <v>105</v>
      </c>
      <c r="L286" s="31" t="s">
        <v>20</v>
      </c>
    </row>
    <row r="287" spans="1:12" ht="12.75" x14ac:dyDescent="0.2">
      <c r="A287" s="348">
        <f>125+1+1+3</f>
        <v>130</v>
      </c>
      <c r="B287" s="346" t="s">
        <v>24</v>
      </c>
      <c r="C287" s="352" t="s">
        <v>19</v>
      </c>
      <c r="D287" s="355">
        <v>6</v>
      </c>
      <c r="E287" s="366"/>
      <c r="F287" s="366"/>
      <c r="G287" s="366"/>
      <c r="H287" s="366"/>
      <c r="I287" s="40" t="s">
        <v>53</v>
      </c>
      <c r="J287" s="24" t="s">
        <v>19</v>
      </c>
      <c r="K287" s="27">
        <v>6</v>
      </c>
      <c r="L287" s="31" t="s">
        <v>20</v>
      </c>
    </row>
    <row r="288" spans="1:12" ht="38.25" x14ac:dyDescent="0.2">
      <c r="A288" s="349"/>
      <c r="B288" s="347"/>
      <c r="C288" s="354"/>
      <c r="D288" s="357"/>
      <c r="E288" s="367"/>
      <c r="F288" s="367"/>
      <c r="G288" s="367"/>
      <c r="H288" s="367"/>
      <c r="I288" s="40" t="s">
        <v>52</v>
      </c>
      <c r="J288" s="24" t="s">
        <v>19</v>
      </c>
      <c r="K288" s="27">
        <v>6</v>
      </c>
      <c r="L288" s="31" t="s">
        <v>20</v>
      </c>
    </row>
    <row r="289" spans="1:12" ht="38.25" x14ac:dyDescent="0.2">
      <c r="A289" s="348">
        <f>126+1+1+3</f>
        <v>131</v>
      </c>
      <c r="B289" s="346" t="s">
        <v>55</v>
      </c>
      <c r="C289" s="352" t="s">
        <v>19</v>
      </c>
      <c r="D289" s="355">
        <v>1</v>
      </c>
      <c r="E289" s="88"/>
      <c r="F289" s="88"/>
      <c r="G289" s="88"/>
      <c r="H289" s="88"/>
      <c r="I289" s="35" t="s">
        <v>54</v>
      </c>
      <c r="J289" s="36" t="s">
        <v>19</v>
      </c>
      <c r="K289" s="30">
        <v>1</v>
      </c>
      <c r="L289" s="31" t="s">
        <v>20</v>
      </c>
    </row>
    <row r="290" spans="1:12" ht="12.75" x14ac:dyDescent="0.2">
      <c r="A290" s="349"/>
      <c r="B290" s="347"/>
      <c r="C290" s="354"/>
      <c r="D290" s="357"/>
      <c r="E290" s="45"/>
      <c r="F290" s="45"/>
      <c r="G290" s="45"/>
      <c r="H290" s="45"/>
      <c r="I290" s="35" t="s">
        <v>53</v>
      </c>
      <c r="J290" s="36" t="s">
        <v>19</v>
      </c>
      <c r="K290" s="30">
        <v>1</v>
      </c>
      <c r="L290" s="31" t="s">
        <v>20</v>
      </c>
    </row>
    <row r="291" spans="1:12" ht="16.5" customHeight="1" x14ac:dyDescent="0.2">
      <c r="A291" s="348">
        <f>127+1+1+3</f>
        <v>132</v>
      </c>
      <c r="B291" s="346" t="s">
        <v>59</v>
      </c>
      <c r="C291" s="352" t="s">
        <v>0</v>
      </c>
      <c r="D291" s="359">
        <v>5</v>
      </c>
      <c r="E291" s="34"/>
      <c r="F291" s="34"/>
      <c r="G291" s="34"/>
      <c r="H291" s="34"/>
      <c r="I291" s="35" t="s">
        <v>114</v>
      </c>
      <c r="J291" s="36" t="s">
        <v>115</v>
      </c>
      <c r="K291" s="30">
        <v>1</v>
      </c>
      <c r="L291" s="156" t="s">
        <v>20</v>
      </c>
    </row>
    <row r="292" spans="1:12" ht="12.75" customHeight="1" x14ac:dyDescent="0.2">
      <c r="A292" s="350"/>
      <c r="B292" s="351"/>
      <c r="C292" s="353"/>
      <c r="D292" s="358"/>
      <c r="E292" s="49"/>
      <c r="F292" s="49"/>
      <c r="G292" s="49"/>
      <c r="H292" s="49"/>
      <c r="I292" s="28" t="s">
        <v>25</v>
      </c>
      <c r="J292" s="36" t="s">
        <v>0</v>
      </c>
      <c r="K292" s="30">
        <v>5</v>
      </c>
      <c r="L292" s="31" t="s">
        <v>20</v>
      </c>
    </row>
    <row r="293" spans="1:12" ht="12.75" x14ac:dyDescent="0.2">
      <c r="A293" s="349"/>
      <c r="B293" s="347"/>
      <c r="C293" s="354"/>
      <c r="D293" s="360"/>
      <c r="E293" s="49"/>
      <c r="F293" s="49"/>
      <c r="G293" s="49"/>
      <c r="H293" s="49"/>
      <c r="I293" s="28" t="s">
        <v>66</v>
      </c>
      <c r="J293" s="36" t="s">
        <v>19</v>
      </c>
      <c r="K293" s="30">
        <v>5</v>
      </c>
      <c r="L293" s="31" t="s">
        <v>20</v>
      </c>
    </row>
    <row r="294" spans="1:12" ht="15.75" x14ac:dyDescent="0.2">
      <c r="A294" s="124">
        <f>128+1+1+3</f>
        <v>133</v>
      </c>
      <c r="B294" s="76" t="s">
        <v>58</v>
      </c>
      <c r="C294" s="85" t="s">
        <v>0</v>
      </c>
      <c r="D294" s="87">
        <v>22</v>
      </c>
      <c r="E294" s="72"/>
      <c r="F294" s="72"/>
      <c r="G294" s="72"/>
      <c r="H294" s="72"/>
      <c r="I294" s="81" t="s">
        <v>25</v>
      </c>
      <c r="J294" s="24" t="s">
        <v>0</v>
      </c>
      <c r="K294" s="27">
        <v>22</v>
      </c>
      <c r="L294" s="31" t="s">
        <v>20</v>
      </c>
    </row>
    <row r="295" spans="1:12" ht="12.75" x14ac:dyDescent="0.2">
      <c r="A295" s="343">
        <f>129+1+1+3</f>
        <v>134</v>
      </c>
      <c r="B295" s="342" t="s">
        <v>60</v>
      </c>
      <c r="C295" s="31"/>
      <c r="D295" s="359">
        <v>12</v>
      </c>
      <c r="E295" s="44"/>
      <c r="F295" s="44"/>
      <c r="G295" s="44"/>
      <c r="H295" s="44"/>
      <c r="I295" s="28" t="s">
        <v>66</v>
      </c>
      <c r="J295" s="36" t="s">
        <v>19</v>
      </c>
      <c r="K295" s="30">
        <v>12</v>
      </c>
      <c r="L295" s="31" t="s">
        <v>20</v>
      </c>
    </row>
    <row r="296" spans="1:12" ht="12.75" x14ac:dyDescent="0.2">
      <c r="A296" s="343"/>
      <c r="B296" s="342"/>
      <c r="C296" s="31" t="s">
        <v>0</v>
      </c>
      <c r="D296" s="360"/>
      <c r="E296" s="44"/>
      <c r="F296" s="77"/>
      <c r="G296" s="77"/>
      <c r="H296" s="77"/>
      <c r="I296" s="81" t="s">
        <v>25</v>
      </c>
      <c r="J296" s="24" t="s">
        <v>0</v>
      </c>
      <c r="K296" s="27">
        <v>12</v>
      </c>
      <c r="L296" s="83" t="s">
        <v>20</v>
      </c>
    </row>
    <row r="297" spans="1:12" ht="12.75" x14ac:dyDescent="0.2">
      <c r="A297" s="343">
        <f>130+1+1+3</f>
        <v>135</v>
      </c>
      <c r="B297" s="342" t="s">
        <v>61</v>
      </c>
      <c r="C297" s="344" t="s">
        <v>19</v>
      </c>
      <c r="D297" s="358">
        <v>4</v>
      </c>
      <c r="E297" s="72"/>
      <c r="F297" s="72"/>
      <c r="G297" s="72"/>
      <c r="H297" s="72"/>
      <c r="I297" s="81" t="s">
        <v>62</v>
      </c>
      <c r="J297" s="24" t="s">
        <v>19</v>
      </c>
      <c r="K297" s="27">
        <v>4</v>
      </c>
      <c r="L297" s="31" t="s">
        <v>20</v>
      </c>
    </row>
    <row r="298" spans="1:12" s="3" customFormat="1" ht="12.75" x14ac:dyDescent="0.2">
      <c r="A298" s="343"/>
      <c r="B298" s="342"/>
      <c r="C298" s="344"/>
      <c r="D298" s="358"/>
      <c r="E298" s="72"/>
      <c r="F298" s="72"/>
      <c r="G298" s="72"/>
      <c r="H298" s="72"/>
      <c r="I298" s="81" t="s">
        <v>63</v>
      </c>
      <c r="J298" s="24" t="s">
        <v>19</v>
      </c>
      <c r="K298" s="27">
        <v>4</v>
      </c>
      <c r="L298" s="31" t="s">
        <v>20</v>
      </c>
    </row>
    <row r="299" spans="1:12" s="3" customFormat="1" ht="21.75" customHeight="1" x14ac:dyDescent="0.25">
      <c r="A299" s="126"/>
      <c r="B299" s="92" t="s">
        <v>82</v>
      </c>
      <c r="C299" s="19"/>
      <c r="D299" s="21"/>
      <c r="E299" s="19"/>
      <c r="F299" s="19"/>
      <c r="G299" s="19"/>
      <c r="H299" s="32"/>
      <c r="I299" s="19"/>
      <c r="J299" s="19"/>
      <c r="K299" s="23"/>
      <c r="L299" s="19"/>
    </row>
    <row r="300" spans="1:12" ht="12.75" x14ac:dyDescent="0.2">
      <c r="A300" s="125">
        <f>131+1+1+3</f>
        <v>136</v>
      </c>
      <c r="B300" s="28" t="s">
        <v>48</v>
      </c>
      <c r="C300" s="31" t="s">
        <v>19</v>
      </c>
      <c r="D300" s="33">
        <v>2</v>
      </c>
      <c r="E300" s="34"/>
      <c r="F300" s="34"/>
      <c r="G300" s="34"/>
      <c r="H300" s="34"/>
      <c r="I300" s="35"/>
      <c r="J300" s="36"/>
      <c r="K300" s="30"/>
      <c r="L300" s="31" t="s">
        <v>20</v>
      </c>
    </row>
    <row r="301" spans="1:12" ht="12.75" x14ac:dyDescent="0.2">
      <c r="A301" s="348">
        <f>132+1+1+3</f>
        <v>137</v>
      </c>
      <c r="B301" s="346" t="s">
        <v>50</v>
      </c>
      <c r="C301" s="352" t="s">
        <v>0</v>
      </c>
      <c r="D301" s="355">
        <v>6</v>
      </c>
      <c r="E301" s="366"/>
      <c r="F301" s="366"/>
      <c r="G301" s="366"/>
      <c r="H301" s="366"/>
      <c r="I301" s="35" t="s">
        <v>51</v>
      </c>
      <c r="J301" s="36" t="s">
        <v>0</v>
      </c>
      <c r="K301" s="30">
        <v>6</v>
      </c>
      <c r="L301" s="31" t="s">
        <v>20</v>
      </c>
    </row>
    <row r="302" spans="1:12" ht="12.75" x14ac:dyDescent="0.2">
      <c r="A302" s="349"/>
      <c r="B302" s="347"/>
      <c r="C302" s="354"/>
      <c r="D302" s="357"/>
      <c r="E302" s="367"/>
      <c r="F302" s="367"/>
      <c r="G302" s="367"/>
      <c r="H302" s="367"/>
      <c r="I302" s="35" t="s">
        <v>57</v>
      </c>
      <c r="J302" s="36" t="s">
        <v>19</v>
      </c>
      <c r="K302" s="30">
        <v>2</v>
      </c>
      <c r="L302" s="31" t="s">
        <v>20</v>
      </c>
    </row>
    <row r="303" spans="1:12" ht="12.75" x14ac:dyDescent="0.2">
      <c r="A303" s="123">
        <f>133+1+1+3</f>
        <v>138</v>
      </c>
      <c r="B303" s="86" t="s">
        <v>69</v>
      </c>
      <c r="C303" s="85" t="s">
        <v>19</v>
      </c>
      <c r="D303" s="90">
        <v>1</v>
      </c>
      <c r="E303" s="89"/>
      <c r="F303" s="89"/>
      <c r="G303" s="89"/>
      <c r="H303" s="89"/>
      <c r="I303" s="35" t="s">
        <v>70</v>
      </c>
      <c r="J303" s="36" t="s">
        <v>19</v>
      </c>
      <c r="K303" s="30">
        <v>1</v>
      </c>
      <c r="L303" s="31" t="s">
        <v>20</v>
      </c>
    </row>
    <row r="304" spans="1:12" ht="25.5" x14ac:dyDescent="0.2">
      <c r="A304" s="124">
        <f>134+1+1+3</f>
        <v>139</v>
      </c>
      <c r="B304" s="74" t="s">
        <v>21</v>
      </c>
      <c r="C304" s="82" t="s">
        <v>0</v>
      </c>
      <c r="D304" s="84">
        <v>46</v>
      </c>
      <c r="E304" s="75"/>
      <c r="F304" s="75"/>
      <c r="G304" s="75"/>
      <c r="H304" s="75"/>
      <c r="I304" s="28" t="s">
        <v>22</v>
      </c>
      <c r="J304" s="36" t="s">
        <v>0</v>
      </c>
      <c r="K304" s="30">
        <v>46</v>
      </c>
      <c r="L304" s="31" t="s">
        <v>20</v>
      </c>
    </row>
    <row r="305" spans="1:12" ht="15" customHeight="1" x14ac:dyDescent="0.2">
      <c r="A305" s="348">
        <f>135+1+1+3</f>
        <v>140</v>
      </c>
      <c r="B305" s="346" t="s">
        <v>23</v>
      </c>
      <c r="C305" s="352" t="s">
        <v>0</v>
      </c>
      <c r="D305" s="359">
        <v>25</v>
      </c>
      <c r="E305" s="172"/>
      <c r="F305" s="172"/>
      <c r="G305" s="172"/>
      <c r="H305" s="172"/>
      <c r="I305" s="155" t="s">
        <v>114</v>
      </c>
      <c r="J305" s="36" t="s">
        <v>115</v>
      </c>
      <c r="K305" s="30">
        <v>1</v>
      </c>
      <c r="L305" s="156" t="s">
        <v>20</v>
      </c>
    </row>
    <row r="306" spans="1:12" ht="25.5" x14ac:dyDescent="0.2">
      <c r="A306" s="349"/>
      <c r="B306" s="347"/>
      <c r="C306" s="354"/>
      <c r="D306" s="360"/>
      <c r="E306" s="49"/>
      <c r="F306" s="49"/>
      <c r="G306" s="49"/>
      <c r="H306" s="49"/>
      <c r="I306" s="28" t="s">
        <v>22</v>
      </c>
      <c r="J306" s="36" t="s">
        <v>0</v>
      </c>
      <c r="K306" s="30">
        <v>25</v>
      </c>
      <c r="L306" s="31" t="s">
        <v>20</v>
      </c>
    </row>
    <row r="307" spans="1:12" ht="12.75" x14ac:dyDescent="0.2">
      <c r="A307" s="348">
        <f>136+1+1+3</f>
        <v>141</v>
      </c>
      <c r="B307" s="346" t="s">
        <v>24</v>
      </c>
      <c r="C307" s="352" t="s">
        <v>19</v>
      </c>
      <c r="D307" s="355">
        <v>1</v>
      </c>
      <c r="E307" s="366"/>
      <c r="F307" s="366"/>
      <c r="G307" s="366"/>
      <c r="H307" s="366"/>
      <c r="I307" s="40" t="s">
        <v>53</v>
      </c>
      <c r="J307" s="24" t="s">
        <v>19</v>
      </c>
      <c r="K307" s="27">
        <v>1</v>
      </c>
      <c r="L307" s="31" t="s">
        <v>20</v>
      </c>
    </row>
    <row r="308" spans="1:12" ht="38.25" x14ac:dyDescent="0.2">
      <c r="A308" s="349"/>
      <c r="B308" s="347"/>
      <c r="C308" s="354"/>
      <c r="D308" s="357"/>
      <c r="E308" s="367"/>
      <c r="F308" s="367"/>
      <c r="G308" s="367"/>
      <c r="H308" s="367"/>
      <c r="I308" s="40" t="s">
        <v>52</v>
      </c>
      <c r="J308" s="24" t="s">
        <v>19</v>
      </c>
      <c r="K308" s="27">
        <v>1</v>
      </c>
      <c r="L308" s="31" t="s">
        <v>20</v>
      </c>
    </row>
    <row r="309" spans="1:12" ht="38.25" x14ac:dyDescent="0.2">
      <c r="A309" s="348">
        <f>137+1+1+3</f>
        <v>142</v>
      </c>
      <c r="B309" s="346" t="s">
        <v>55</v>
      </c>
      <c r="C309" s="352" t="s">
        <v>19</v>
      </c>
      <c r="D309" s="355">
        <v>1</v>
      </c>
      <c r="E309" s="88"/>
      <c r="F309" s="88"/>
      <c r="G309" s="88"/>
      <c r="H309" s="88"/>
      <c r="I309" s="35" t="s">
        <v>54</v>
      </c>
      <c r="J309" s="36" t="s">
        <v>19</v>
      </c>
      <c r="K309" s="30">
        <v>1</v>
      </c>
      <c r="L309" s="31" t="s">
        <v>20</v>
      </c>
    </row>
    <row r="310" spans="1:12" ht="12.75" x14ac:dyDescent="0.2">
      <c r="A310" s="349"/>
      <c r="B310" s="347"/>
      <c r="C310" s="354"/>
      <c r="D310" s="357"/>
      <c r="E310" s="45"/>
      <c r="F310" s="45"/>
      <c r="G310" s="45"/>
      <c r="H310" s="45"/>
      <c r="I310" s="35" t="s">
        <v>53</v>
      </c>
      <c r="J310" s="36" t="s">
        <v>19</v>
      </c>
      <c r="K310" s="30">
        <v>1</v>
      </c>
      <c r="L310" s="31" t="s">
        <v>20</v>
      </c>
    </row>
    <row r="311" spans="1:12" ht="15.75" x14ac:dyDescent="0.2">
      <c r="A311" s="125">
        <f>138+1+1+3</f>
        <v>143</v>
      </c>
      <c r="B311" s="80" t="s">
        <v>58</v>
      </c>
      <c r="C311" s="31" t="s">
        <v>0</v>
      </c>
      <c r="D311" s="48">
        <v>3</v>
      </c>
      <c r="E311" s="72"/>
      <c r="F311" s="72"/>
      <c r="G311" s="72"/>
      <c r="H311" s="72"/>
      <c r="I311" s="81" t="s">
        <v>25</v>
      </c>
      <c r="J311" s="24" t="s">
        <v>0</v>
      </c>
      <c r="K311" s="27">
        <v>3</v>
      </c>
      <c r="L311" s="31" t="s">
        <v>20</v>
      </c>
    </row>
    <row r="312" spans="1:12" ht="12.75" x14ac:dyDescent="0.2">
      <c r="A312" s="343">
        <f>139+1+1+3</f>
        <v>144</v>
      </c>
      <c r="B312" s="342" t="s">
        <v>61</v>
      </c>
      <c r="C312" s="344" t="s">
        <v>19</v>
      </c>
      <c r="D312" s="345">
        <v>4</v>
      </c>
      <c r="E312" s="72"/>
      <c r="F312" s="72"/>
      <c r="G312" s="72"/>
      <c r="H312" s="72"/>
      <c r="I312" s="81" t="s">
        <v>62</v>
      </c>
      <c r="J312" s="24" t="s">
        <v>19</v>
      </c>
      <c r="K312" s="27">
        <v>4</v>
      </c>
      <c r="L312" s="31" t="s">
        <v>20</v>
      </c>
    </row>
    <row r="313" spans="1:12" s="3" customFormat="1" ht="12.75" x14ac:dyDescent="0.2">
      <c r="A313" s="343"/>
      <c r="B313" s="342"/>
      <c r="C313" s="344"/>
      <c r="D313" s="345"/>
      <c r="E313" s="72"/>
      <c r="F313" s="72"/>
      <c r="G313" s="72"/>
      <c r="H313" s="72"/>
      <c r="I313" s="81" t="s">
        <v>63</v>
      </c>
      <c r="J313" s="24" t="s">
        <v>19</v>
      </c>
      <c r="K313" s="27">
        <v>4</v>
      </c>
      <c r="L313" s="31" t="s">
        <v>20</v>
      </c>
    </row>
    <row r="314" spans="1:12" s="3" customFormat="1" ht="21.75" customHeight="1" x14ac:dyDescent="0.25">
      <c r="A314" s="126"/>
      <c r="B314" s="92" t="s">
        <v>83</v>
      </c>
      <c r="C314" s="19"/>
      <c r="D314" s="21"/>
      <c r="E314" s="19"/>
      <c r="F314" s="19"/>
      <c r="G314" s="19"/>
      <c r="H314" s="32"/>
      <c r="I314" s="19"/>
      <c r="J314" s="19"/>
      <c r="K314" s="23"/>
      <c r="L314" s="19"/>
    </row>
    <row r="315" spans="1:12" ht="12.75" x14ac:dyDescent="0.2">
      <c r="A315" s="125">
        <f>140+1+1+3</f>
        <v>145</v>
      </c>
      <c r="B315" s="28" t="s">
        <v>48</v>
      </c>
      <c r="C315" s="31" t="s">
        <v>19</v>
      </c>
      <c r="D315" s="33">
        <v>2</v>
      </c>
      <c r="E315" s="34"/>
      <c r="F315" s="34"/>
      <c r="G315" s="34"/>
      <c r="H315" s="34"/>
      <c r="I315" s="35"/>
      <c r="J315" s="36"/>
      <c r="K315" s="30"/>
      <c r="L315" s="31" t="s">
        <v>20</v>
      </c>
    </row>
    <row r="316" spans="1:12" ht="12.75" x14ac:dyDescent="0.2">
      <c r="A316" s="348">
        <f>141+1+1+3</f>
        <v>146</v>
      </c>
      <c r="B316" s="346" t="s">
        <v>50</v>
      </c>
      <c r="C316" s="352" t="s">
        <v>0</v>
      </c>
      <c r="D316" s="355">
        <v>14</v>
      </c>
      <c r="E316" s="366"/>
      <c r="F316" s="366"/>
      <c r="G316" s="366"/>
      <c r="H316" s="366"/>
      <c r="I316" s="35" t="s">
        <v>51</v>
      </c>
      <c r="J316" s="36" t="s">
        <v>0</v>
      </c>
      <c r="K316" s="30">
        <v>14</v>
      </c>
      <c r="L316" s="31" t="s">
        <v>20</v>
      </c>
    </row>
    <row r="317" spans="1:12" ht="12.75" x14ac:dyDescent="0.2">
      <c r="A317" s="349"/>
      <c r="B317" s="347"/>
      <c r="C317" s="354"/>
      <c r="D317" s="357"/>
      <c r="E317" s="367"/>
      <c r="F317" s="367"/>
      <c r="G317" s="367"/>
      <c r="H317" s="367"/>
      <c r="I317" s="35" t="s">
        <v>57</v>
      </c>
      <c r="J317" s="36" t="s">
        <v>19</v>
      </c>
      <c r="K317" s="30">
        <v>2</v>
      </c>
      <c r="L317" s="31" t="s">
        <v>20</v>
      </c>
    </row>
    <row r="318" spans="1:12" ht="15" customHeight="1" x14ac:dyDescent="0.2">
      <c r="A318" s="123">
        <f>142+1+1+3</f>
        <v>147</v>
      </c>
      <c r="B318" s="86" t="s">
        <v>69</v>
      </c>
      <c r="C318" s="85" t="s">
        <v>19</v>
      </c>
      <c r="D318" s="90">
        <v>1</v>
      </c>
      <c r="E318" s="89"/>
      <c r="F318" s="89"/>
      <c r="G318" s="89"/>
      <c r="H318" s="89"/>
      <c r="I318" s="35" t="s">
        <v>70</v>
      </c>
      <c r="J318" s="36" t="s">
        <v>19</v>
      </c>
      <c r="K318" s="30">
        <v>1</v>
      </c>
      <c r="L318" s="31" t="s">
        <v>20</v>
      </c>
    </row>
    <row r="319" spans="1:12" ht="15" customHeight="1" x14ac:dyDescent="0.2">
      <c r="A319" s="124">
        <f>143+1+1+3</f>
        <v>148</v>
      </c>
      <c r="B319" s="74" t="s">
        <v>21</v>
      </c>
      <c r="C319" s="82" t="s">
        <v>0</v>
      </c>
      <c r="D319" s="84">
        <v>114</v>
      </c>
      <c r="E319" s="75"/>
      <c r="F319" s="75"/>
      <c r="G319" s="75"/>
      <c r="H319" s="75"/>
      <c r="I319" s="28" t="s">
        <v>22</v>
      </c>
      <c r="J319" s="36" t="s">
        <v>0</v>
      </c>
      <c r="K319" s="30">
        <v>114</v>
      </c>
      <c r="L319" s="31" t="s">
        <v>20</v>
      </c>
    </row>
    <row r="320" spans="1:12" ht="15" customHeight="1" x14ac:dyDescent="0.2">
      <c r="A320" s="348">
        <f>144+1+1+3</f>
        <v>149</v>
      </c>
      <c r="B320" s="346" t="s">
        <v>23</v>
      </c>
      <c r="C320" s="352" t="s">
        <v>0</v>
      </c>
      <c r="D320" s="359">
        <v>69</v>
      </c>
      <c r="E320" s="172"/>
      <c r="F320" s="172"/>
      <c r="G320" s="172"/>
      <c r="H320" s="172"/>
      <c r="I320" s="155" t="s">
        <v>114</v>
      </c>
      <c r="J320" s="36" t="s">
        <v>115</v>
      </c>
      <c r="K320" s="30">
        <v>1</v>
      </c>
      <c r="L320" s="156" t="s">
        <v>20</v>
      </c>
    </row>
    <row r="321" spans="1:12" ht="25.5" x14ac:dyDescent="0.2">
      <c r="A321" s="349"/>
      <c r="B321" s="347"/>
      <c r="C321" s="354"/>
      <c r="D321" s="360"/>
      <c r="E321" s="49"/>
      <c r="F321" s="49"/>
      <c r="G321" s="49"/>
      <c r="H321" s="49"/>
      <c r="I321" s="28" t="s">
        <v>22</v>
      </c>
      <c r="J321" s="36" t="s">
        <v>0</v>
      </c>
      <c r="K321" s="30">
        <v>69</v>
      </c>
      <c r="L321" s="31" t="s">
        <v>20</v>
      </c>
    </row>
    <row r="322" spans="1:12" ht="12.75" x14ac:dyDescent="0.2">
      <c r="A322" s="348">
        <f>145+1+1+3</f>
        <v>150</v>
      </c>
      <c r="B322" s="346" t="s">
        <v>24</v>
      </c>
      <c r="C322" s="352" t="s">
        <v>19</v>
      </c>
      <c r="D322" s="355">
        <v>3</v>
      </c>
      <c r="E322" s="366"/>
      <c r="F322" s="366"/>
      <c r="G322" s="366"/>
      <c r="H322" s="366"/>
      <c r="I322" s="40" t="s">
        <v>53</v>
      </c>
      <c r="J322" s="24" t="s">
        <v>19</v>
      </c>
      <c r="K322" s="27">
        <v>3</v>
      </c>
      <c r="L322" s="31" t="s">
        <v>20</v>
      </c>
    </row>
    <row r="323" spans="1:12" ht="38.25" x14ac:dyDescent="0.2">
      <c r="A323" s="349"/>
      <c r="B323" s="347"/>
      <c r="C323" s="354"/>
      <c r="D323" s="357"/>
      <c r="E323" s="367"/>
      <c r="F323" s="367"/>
      <c r="G323" s="367"/>
      <c r="H323" s="367"/>
      <c r="I323" s="40" t="s">
        <v>52</v>
      </c>
      <c r="J323" s="24" t="s">
        <v>19</v>
      </c>
      <c r="K323" s="27">
        <v>3</v>
      </c>
      <c r="L323" s="31" t="s">
        <v>20</v>
      </c>
    </row>
    <row r="324" spans="1:12" ht="38.25" x14ac:dyDescent="0.2">
      <c r="A324" s="343">
        <f>146+1+1+3</f>
        <v>151</v>
      </c>
      <c r="B324" s="346" t="s">
        <v>55</v>
      </c>
      <c r="C324" s="352" t="s">
        <v>19</v>
      </c>
      <c r="D324" s="355">
        <v>1</v>
      </c>
      <c r="E324" s="88"/>
      <c r="F324" s="88"/>
      <c r="G324" s="88"/>
      <c r="H324" s="88"/>
      <c r="I324" s="35" t="s">
        <v>54</v>
      </c>
      <c r="J324" s="36" t="s">
        <v>19</v>
      </c>
      <c r="K324" s="30">
        <v>1</v>
      </c>
      <c r="L324" s="31" t="s">
        <v>20</v>
      </c>
    </row>
    <row r="325" spans="1:12" ht="12.75" x14ac:dyDescent="0.2">
      <c r="A325" s="343"/>
      <c r="B325" s="347"/>
      <c r="C325" s="354"/>
      <c r="D325" s="357"/>
      <c r="E325" s="45"/>
      <c r="F325" s="45"/>
      <c r="G325" s="45"/>
      <c r="H325" s="45"/>
      <c r="I325" s="35" t="s">
        <v>53</v>
      </c>
      <c r="J325" s="36" t="s">
        <v>19</v>
      </c>
      <c r="K325" s="30">
        <v>1</v>
      </c>
      <c r="L325" s="31" t="s">
        <v>20</v>
      </c>
    </row>
    <row r="326" spans="1:12" ht="16.5" customHeight="1" x14ac:dyDescent="0.2">
      <c r="A326" s="343">
        <f>147+1+1+3</f>
        <v>152</v>
      </c>
      <c r="B326" s="342" t="s">
        <v>59</v>
      </c>
      <c r="C326" s="344" t="s">
        <v>0</v>
      </c>
      <c r="D326" s="345">
        <v>9</v>
      </c>
      <c r="E326" s="34"/>
      <c r="F326" s="34"/>
      <c r="G326" s="34"/>
      <c r="H326" s="34"/>
      <c r="I326" s="35" t="s">
        <v>114</v>
      </c>
      <c r="J326" s="36" t="s">
        <v>115</v>
      </c>
      <c r="K326" s="30">
        <v>1</v>
      </c>
      <c r="L326" s="156" t="s">
        <v>20</v>
      </c>
    </row>
    <row r="327" spans="1:12" ht="12.75" customHeight="1" x14ac:dyDescent="0.2">
      <c r="A327" s="343"/>
      <c r="B327" s="342"/>
      <c r="C327" s="344"/>
      <c r="D327" s="345"/>
      <c r="E327" s="49"/>
      <c r="F327" s="49"/>
      <c r="G327" s="49"/>
      <c r="H327" s="49"/>
      <c r="I327" s="28" t="s">
        <v>25</v>
      </c>
      <c r="J327" s="36" t="s">
        <v>0</v>
      </c>
      <c r="K327" s="30">
        <v>9</v>
      </c>
      <c r="L327" s="31" t="s">
        <v>20</v>
      </c>
    </row>
    <row r="328" spans="1:12" ht="12.75" x14ac:dyDescent="0.2">
      <c r="A328" s="343"/>
      <c r="B328" s="342"/>
      <c r="C328" s="344"/>
      <c r="D328" s="345"/>
      <c r="E328" s="49"/>
      <c r="F328" s="49"/>
      <c r="G328" s="49"/>
      <c r="H328" s="49"/>
      <c r="I328" s="28" t="s">
        <v>66</v>
      </c>
      <c r="J328" s="36" t="s">
        <v>19</v>
      </c>
      <c r="K328" s="30">
        <v>9</v>
      </c>
      <c r="L328" s="31" t="s">
        <v>20</v>
      </c>
    </row>
    <row r="329" spans="1:12" ht="15.75" x14ac:dyDescent="0.2">
      <c r="A329" s="162">
        <f>148+1+1+3</f>
        <v>153</v>
      </c>
      <c r="B329" s="76" t="s">
        <v>58</v>
      </c>
      <c r="C329" s="85" t="s">
        <v>0</v>
      </c>
      <c r="D329" s="87">
        <v>23</v>
      </c>
      <c r="E329" s="72"/>
      <c r="F329" s="72"/>
      <c r="G329" s="72"/>
      <c r="H329" s="72"/>
      <c r="I329" s="81" t="s">
        <v>25</v>
      </c>
      <c r="J329" s="24" t="s">
        <v>0</v>
      </c>
      <c r="K329" s="27">
        <v>23</v>
      </c>
      <c r="L329" s="31" t="s">
        <v>20</v>
      </c>
    </row>
    <row r="330" spans="1:12" ht="12.75" x14ac:dyDescent="0.2">
      <c r="A330" s="343">
        <f>149+1+1+3</f>
        <v>154</v>
      </c>
      <c r="B330" s="342" t="s">
        <v>60</v>
      </c>
      <c r="C330" s="352" t="s">
        <v>0</v>
      </c>
      <c r="D330" s="345">
        <v>12</v>
      </c>
      <c r="E330" s="44"/>
      <c r="F330" s="44"/>
      <c r="G330" s="44"/>
      <c r="H330" s="44"/>
      <c r="I330" s="28" t="s">
        <v>66</v>
      </c>
      <c r="J330" s="36" t="s">
        <v>19</v>
      </c>
      <c r="K330" s="30">
        <v>12</v>
      </c>
      <c r="L330" s="31" t="s">
        <v>20</v>
      </c>
    </row>
    <row r="331" spans="1:12" ht="12.75" x14ac:dyDescent="0.2">
      <c r="A331" s="343"/>
      <c r="B331" s="342"/>
      <c r="C331" s="354"/>
      <c r="D331" s="345"/>
      <c r="E331" s="44"/>
      <c r="F331" s="77"/>
      <c r="G331" s="77"/>
      <c r="H331" s="77"/>
      <c r="I331" s="81" t="s">
        <v>25</v>
      </c>
      <c r="J331" s="24" t="s">
        <v>0</v>
      </c>
      <c r="K331" s="27">
        <v>12</v>
      </c>
      <c r="L331" s="83" t="s">
        <v>20</v>
      </c>
    </row>
    <row r="332" spans="1:12" ht="12.75" x14ac:dyDescent="0.2">
      <c r="A332" s="343">
        <f>150+1+1+3</f>
        <v>155</v>
      </c>
      <c r="B332" s="342" t="s">
        <v>61</v>
      </c>
      <c r="C332" s="344" t="s">
        <v>19</v>
      </c>
      <c r="D332" s="345">
        <v>10</v>
      </c>
      <c r="E332" s="72"/>
      <c r="F332" s="72"/>
      <c r="G332" s="72"/>
      <c r="H332" s="72"/>
      <c r="I332" s="81" t="s">
        <v>62</v>
      </c>
      <c r="J332" s="24" t="s">
        <v>19</v>
      </c>
      <c r="K332" s="27">
        <v>10</v>
      </c>
      <c r="L332" s="31" t="s">
        <v>20</v>
      </c>
    </row>
    <row r="333" spans="1:12" s="3" customFormat="1" ht="12.75" x14ac:dyDescent="0.2">
      <c r="A333" s="343"/>
      <c r="B333" s="342"/>
      <c r="C333" s="344"/>
      <c r="D333" s="345"/>
      <c r="E333" s="72"/>
      <c r="F333" s="72"/>
      <c r="G333" s="72"/>
      <c r="H333" s="72"/>
      <c r="I333" s="81" t="s">
        <v>63</v>
      </c>
      <c r="J333" s="24" t="s">
        <v>19</v>
      </c>
      <c r="K333" s="27">
        <v>10</v>
      </c>
      <c r="L333" s="31" t="s">
        <v>20</v>
      </c>
    </row>
    <row r="334" spans="1:12" s="3" customFormat="1" ht="21.75" customHeight="1" x14ac:dyDescent="0.25">
      <c r="A334" s="126"/>
      <c r="B334" s="92" t="s">
        <v>84</v>
      </c>
      <c r="C334" s="19"/>
      <c r="D334" s="21"/>
      <c r="E334" s="19"/>
      <c r="F334" s="19"/>
      <c r="G334" s="19"/>
      <c r="H334" s="32"/>
      <c r="I334" s="19"/>
      <c r="J334" s="19"/>
      <c r="K334" s="23"/>
      <c r="L334" s="19"/>
    </row>
    <row r="335" spans="1:12" ht="12.75" x14ac:dyDescent="0.2">
      <c r="A335" s="125">
        <f>151+1+1+3</f>
        <v>156</v>
      </c>
      <c r="B335" s="28" t="s">
        <v>48</v>
      </c>
      <c r="C335" s="31" t="s">
        <v>19</v>
      </c>
      <c r="D335" s="33">
        <v>2</v>
      </c>
      <c r="E335" s="34"/>
      <c r="F335" s="34"/>
      <c r="G335" s="34"/>
      <c r="H335" s="34"/>
      <c r="I335" s="35"/>
      <c r="J335" s="36"/>
      <c r="K335" s="30"/>
      <c r="L335" s="31" t="s">
        <v>20</v>
      </c>
    </row>
    <row r="336" spans="1:12" ht="12.75" x14ac:dyDescent="0.2">
      <c r="A336" s="348">
        <f>152+1+1+3</f>
        <v>157</v>
      </c>
      <c r="B336" s="346" t="s">
        <v>50</v>
      </c>
      <c r="C336" s="352" t="s">
        <v>0</v>
      </c>
      <c r="D336" s="355">
        <v>8</v>
      </c>
      <c r="E336" s="366"/>
      <c r="F336" s="366"/>
      <c r="G336" s="366"/>
      <c r="H336" s="366"/>
      <c r="I336" s="35" t="s">
        <v>51</v>
      </c>
      <c r="J336" s="36" t="s">
        <v>0</v>
      </c>
      <c r="K336" s="30">
        <v>8</v>
      </c>
      <c r="L336" s="31" t="s">
        <v>20</v>
      </c>
    </row>
    <row r="337" spans="1:12" ht="12.75" x14ac:dyDescent="0.2">
      <c r="A337" s="349"/>
      <c r="B337" s="347"/>
      <c r="C337" s="354"/>
      <c r="D337" s="357"/>
      <c r="E337" s="367"/>
      <c r="F337" s="367"/>
      <c r="G337" s="367"/>
      <c r="H337" s="367"/>
      <c r="I337" s="35" t="s">
        <v>57</v>
      </c>
      <c r="J337" s="36" t="s">
        <v>19</v>
      </c>
      <c r="K337" s="30">
        <v>3</v>
      </c>
      <c r="L337" s="31" t="s">
        <v>20</v>
      </c>
    </row>
    <row r="338" spans="1:12" ht="15" customHeight="1" x14ac:dyDescent="0.2">
      <c r="A338" s="123">
        <f>153+1+1+3</f>
        <v>158</v>
      </c>
      <c r="B338" s="86" t="s">
        <v>69</v>
      </c>
      <c r="C338" s="85" t="s">
        <v>19</v>
      </c>
      <c r="D338" s="90">
        <v>1</v>
      </c>
      <c r="E338" s="89"/>
      <c r="F338" s="89"/>
      <c r="G338" s="89"/>
      <c r="H338" s="89"/>
      <c r="I338" s="35" t="s">
        <v>70</v>
      </c>
      <c r="J338" s="36" t="s">
        <v>19</v>
      </c>
      <c r="K338" s="30">
        <v>1</v>
      </c>
      <c r="L338" s="31" t="s">
        <v>20</v>
      </c>
    </row>
    <row r="339" spans="1:12" ht="15" customHeight="1" x14ac:dyDescent="0.2">
      <c r="A339" s="124">
        <f>154+1+1+3</f>
        <v>159</v>
      </c>
      <c r="B339" s="74" t="s">
        <v>21</v>
      </c>
      <c r="C339" s="82" t="s">
        <v>0</v>
      </c>
      <c r="D339" s="84">
        <v>47</v>
      </c>
      <c r="E339" s="75"/>
      <c r="F339" s="75"/>
      <c r="G339" s="75"/>
      <c r="H339" s="75"/>
      <c r="I339" s="28" t="s">
        <v>22</v>
      </c>
      <c r="J339" s="36" t="s">
        <v>0</v>
      </c>
      <c r="K339" s="30">
        <v>47</v>
      </c>
      <c r="L339" s="31" t="s">
        <v>20</v>
      </c>
    </row>
    <row r="340" spans="1:12" ht="15" customHeight="1" x14ac:dyDescent="0.2">
      <c r="A340" s="348">
        <f>155+1+1+3</f>
        <v>160</v>
      </c>
      <c r="B340" s="346" t="s">
        <v>23</v>
      </c>
      <c r="C340" s="352" t="s">
        <v>0</v>
      </c>
      <c r="D340" s="359">
        <v>108</v>
      </c>
      <c r="E340" s="172"/>
      <c r="F340" s="172"/>
      <c r="G340" s="172"/>
      <c r="H340" s="172"/>
      <c r="I340" s="155" t="s">
        <v>114</v>
      </c>
      <c r="J340" s="36" t="s">
        <v>115</v>
      </c>
      <c r="K340" s="30">
        <v>1</v>
      </c>
      <c r="L340" s="156" t="s">
        <v>20</v>
      </c>
    </row>
    <row r="341" spans="1:12" ht="25.5" x14ac:dyDescent="0.2">
      <c r="A341" s="349"/>
      <c r="B341" s="347"/>
      <c r="C341" s="354"/>
      <c r="D341" s="360"/>
      <c r="E341" s="49"/>
      <c r="F341" s="49"/>
      <c r="G341" s="49"/>
      <c r="H341" s="49"/>
      <c r="I341" s="28" t="s">
        <v>22</v>
      </c>
      <c r="J341" s="36" t="s">
        <v>0</v>
      </c>
      <c r="K341" s="30">
        <v>108</v>
      </c>
      <c r="L341" s="31" t="s">
        <v>20</v>
      </c>
    </row>
    <row r="342" spans="1:12" ht="12.75" x14ac:dyDescent="0.2">
      <c r="A342" s="348">
        <f>156+1+1+3</f>
        <v>161</v>
      </c>
      <c r="B342" s="346" t="s">
        <v>24</v>
      </c>
      <c r="C342" s="352" t="s">
        <v>19</v>
      </c>
      <c r="D342" s="355">
        <v>4</v>
      </c>
      <c r="E342" s="366"/>
      <c r="F342" s="366"/>
      <c r="G342" s="366"/>
      <c r="H342" s="366"/>
      <c r="I342" s="40" t="s">
        <v>53</v>
      </c>
      <c r="J342" s="24" t="s">
        <v>19</v>
      </c>
      <c r="K342" s="27">
        <v>4</v>
      </c>
      <c r="L342" s="31" t="s">
        <v>20</v>
      </c>
    </row>
    <row r="343" spans="1:12" ht="38.25" x14ac:dyDescent="0.2">
      <c r="A343" s="349"/>
      <c r="B343" s="347"/>
      <c r="C343" s="354"/>
      <c r="D343" s="357"/>
      <c r="E343" s="367"/>
      <c r="F343" s="367"/>
      <c r="G343" s="367"/>
      <c r="H343" s="367"/>
      <c r="I343" s="40" t="s">
        <v>52</v>
      </c>
      <c r="J343" s="24" t="s">
        <v>19</v>
      </c>
      <c r="K343" s="27">
        <v>4</v>
      </c>
      <c r="L343" s="31" t="s">
        <v>20</v>
      </c>
    </row>
    <row r="344" spans="1:12" ht="38.25" x14ac:dyDescent="0.2">
      <c r="A344" s="348">
        <f>157+1+1+3</f>
        <v>162</v>
      </c>
      <c r="B344" s="346" t="s">
        <v>55</v>
      </c>
      <c r="C344" s="352" t="s">
        <v>19</v>
      </c>
      <c r="D344" s="355">
        <v>1</v>
      </c>
      <c r="E344" s="88"/>
      <c r="F344" s="88"/>
      <c r="G344" s="88"/>
      <c r="H344" s="88"/>
      <c r="I344" s="35" t="s">
        <v>54</v>
      </c>
      <c r="J344" s="36" t="s">
        <v>19</v>
      </c>
      <c r="K344" s="30">
        <v>1</v>
      </c>
      <c r="L344" s="31" t="s">
        <v>20</v>
      </c>
    </row>
    <row r="345" spans="1:12" ht="12.75" x14ac:dyDescent="0.2">
      <c r="A345" s="349"/>
      <c r="B345" s="347"/>
      <c r="C345" s="354"/>
      <c r="D345" s="357"/>
      <c r="E345" s="45"/>
      <c r="F345" s="45"/>
      <c r="G345" s="45"/>
      <c r="H345" s="45"/>
      <c r="I345" s="35" t="s">
        <v>53</v>
      </c>
      <c r="J345" s="36" t="s">
        <v>19</v>
      </c>
      <c r="K345" s="30">
        <v>1</v>
      </c>
      <c r="L345" s="31" t="s">
        <v>20</v>
      </c>
    </row>
    <row r="346" spans="1:12" ht="16.5" customHeight="1" x14ac:dyDescent="0.2">
      <c r="A346" s="348">
        <f>158+1+1+3</f>
        <v>163</v>
      </c>
      <c r="B346" s="346" t="s">
        <v>59</v>
      </c>
      <c r="C346" s="352" t="s">
        <v>0</v>
      </c>
      <c r="D346" s="359">
        <v>10</v>
      </c>
      <c r="E346" s="34"/>
      <c r="F346" s="34"/>
      <c r="G346" s="34"/>
      <c r="H346" s="34"/>
      <c r="I346" s="35" t="s">
        <v>114</v>
      </c>
      <c r="J346" s="36" t="s">
        <v>115</v>
      </c>
      <c r="K346" s="30">
        <v>1</v>
      </c>
      <c r="L346" s="156" t="s">
        <v>20</v>
      </c>
    </row>
    <row r="347" spans="1:12" ht="12.75" customHeight="1" x14ac:dyDescent="0.2">
      <c r="A347" s="350"/>
      <c r="B347" s="351"/>
      <c r="C347" s="353"/>
      <c r="D347" s="358"/>
      <c r="E347" s="49"/>
      <c r="F347" s="49"/>
      <c r="G347" s="49"/>
      <c r="H347" s="49"/>
      <c r="I347" s="28" t="s">
        <v>25</v>
      </c>
      <c r="J347" s="36" t="s">
        <v>0</v>
      </c>
      <c r="K347" s="30">
        <v>10</v>
      </c>
      <c r="L347" s="31" t="s">
        <v>20</v>
      </c>
    </row>
    <row r="348" spans="1:12" ht="12.75" x14ac:dyDescent="0.2">
      <c r="A348" s="349"/>
      <c r="B348" s="347"/>
      <c r="C348" s="354"/>
      <c r="D348" s="360"/>
      <c r="E348" s="49"/>
      <c r="F348" s="49"/>
      <c r="G348" s="49"/>
      <c r="H348" s="49"/>
      <c r="I348" s="28" t="s">
        <v>66</v>
      </c>
      <c r="J348" s="36" t="s">
        <v>19</v>
      </c>
      <c r="K348" s="30">
        <v>10</v>
      </c>
      <c r="L348" s="31" t="s">
        <v>20</v>
      </c>
    </row>
    <row r="349" spans="1:12" ht="15.75" x14ac:dyDescent="0.2">
      <c r="A349" s="124">
        <f>159+1+1+3</f>
        <v>164</v>
      </c>
      <c r="B349" s="76" t="s">
        <v>58</v>
      </c>
      <c r="C349" s="85" t="s">
        <v>0</v>
      </c>
      <c r="D349" s="87">
        <v>15</v>
      </c>
      <c r="E349" s="72"/>
      <c r="F349" s="72"/>
      <c r="G349" s="72"/>
      <c r="H349" s="72"/>
      <c r="I349" s="81" t="s">
        <v>25</v>
      </c>
      <c r="J349" s="24" t="s">
        <v>0</v>
      </c>
      <c r="K349" s="27">
        <v>15</v>
      </c>
      <c r="L349" s="31" t="s">
        <v>20</v>
      </c>
    </row>
    <row r="350" spans="1:12" ht="12.75" x14ac:dyDescent="0.2">
      <c r="A350" s="343">
        <f>160+1+1+3</f>
        <v>165</v>
      </c>
      <c r="B350" s="342" t="s">
        <v>60</v>
      </c>
      <c r="C350" s="352" t="s">
        <v>0</v>
      </c>
      <c r="D350" s="345">
        <v>21</v>
      </c>
      <c r="E350" s="44"/>
      <c r="F350" s="44"/>
      <c r="G350" s="44"/>
      <c r="H350" s="44"/>
      <c r="I350" s="28" t="s">
        <v>66</v>
      </c>
      <c r="J350" s="36" t="s">
        <v>19</v>
      </c>
      <c r="K350" s="30">
        <v>21</v>
      </c>
      <c r="L350" s="31" t="s">
        <v>20</v>
      </c>
    </row>
    <row r="351" spans="1:12" ht="12.75" x14ac:dyDescent="0.2">
      <c r="A351" s="343"/>
      <c r="B351" s="342"/>
      <c r="C351" s="354"/>
      <c r="D351" s="345"/>
      <c r="E351" s="44"/>
      <c r="F351" s="77"/>
      <c r="G351" s="77"/>
      <c r="H351" s="77"/>
      <c r="I351" s="81" t="s">
        <v>25</v>
      </c>
      <c r="J351" s="24" t="s">
        <v>0</v>
      </c>
      <c r="K351" s="27">
        <v>21</v>
      </c>
      <c r="L351" s="83" t="s">
        <v>20</v>
      </c>
    </row>
    <row r="352" spans="1:12" ht="12.75" x14ac:dyDescent="0.2">
      <c r="A352" s="343">
        <f>161+1+1+3</f>
        <v>166</v>
      </c>
      <c r="B352" s="342" t="s">
        <v>61</v>
      </c>
      <c r="C352" s="344" t="s">
        <v>19</v>
      </c>
      <c r="D352" s="345">
        <v>13</v>
      </c>
      <c r="E352" s="72"/>
      <c r="F352" s="72"/>
      <c r="G352" s="72"/>
      <c r="H352" s="72"/>
      <c r="I352" s="81" t="s">
        <v>62</v>
      </c>
      <c r="J352" s="24" t="s">
        <v>19</v>
      </c>
      <c r="K352" s="27">
        <v>13</v>
      </c>
      <c r="L352" s="31" t="s">
        <v>20</v>
      </c>
    </row>
    <row r="353" spans="1:12" s="3" customFormat="1" ht="12.75" x14ac:dyDescent="0.2">
      <c r="A353" s="343"/>
      <c r="B353" s="342"/>
      <c r="C353" s="344"/>
      <c r="D353" s="345"/>
      <c r="E353" s="72"/>
      <c r="F353" s="72"/>
      <c r="G353" s="72"/>
      <c r="H353" s="72"/>
      <c r="I353" s="81" t="s">
        <v>63</v>
      </c>
      <c r="J353" s="24" t="s">
        <v>19</v>
      </c>
      <c r="K353" s="27">
        <v>13</v>
      </c>
      <c r="L353" s="31" t="s">
        <v>20</v>
      </c>
    </row>
    <row r="354" spans="1:12" s="3" customFormat="1" ht="21.75" customHeight="1" x14ac:dyDescent="0.25">
      <c r="A354" s="126"/>
      <c r="B354" s="92" t="s">
        <v>85</v>
      </c>
      <c r="C354" s="19"/>
      <c r="D354" s="21"/>
      <c r="E354" s="19"/>
      <c r="F354" s="19"/>
      <c r="G354" s="19"/>
      <c r="H354" s="32"/>
      <c r="I354" s="19"/>
      <c r="J354" s="19"/>
      <c r="K354" s="23"/>
      <c r="L354" s="19"/>
    </row>
    <row r="355" spans="1:12" ht="12.75" x14ac:dyDescent="0.2">
      <c r="A355" s="125">
        <f>162+1+1+3</f>
        <v>167</v>
      </c>
      <c r="B355" s="28" t="s">
        <v>48</v>
      </c>
      <c r="C355" s="31" t="s">
        <v>19</v>
      </c>
      <c r="D355" s="33">
        <v>2</v>
      </c>
      <c r="E355" s="34"/>
      <c r="F355" s="34"/>
      <c r="G355" s="34"/>
      <c r="H355" s="34"/>
      <c r="I355" s="35"/>
      <c r="J355" s="36"/>
      <c r="K355" s="30"/>
      <c r="L355" s="31" t="s">
        <v>20</v>
      </c>
    </row>
    <row r="356" spans="1:12" ht="12.75" x14ac:dyDescent="0.2">
      <c r="A356" s="348">
        <f>163+1+1+3</f>
        <v>168</v>
      </c>
      <c r="B356" s="346" t="s">
        <v>50</v>
      </c>
      <c r="C356" s="352" t="s">
        <v>0</v>
      </c>
      <c r="D356" s="355">
        <v>8</v>
      </c>
      <c r="E356" s="366"/>
      <c r="F356" s="366"/>
      <c r="G356" s="366"/>
      <c r="H356" s="366"/>
      <c r="I356" s="35" t="s">
        <v>51</v>
      </c>
      <c r="J356" s="36" t="s">
        <v>0</v>
      </c>
      <c r="K356" s="30">
        <v>8</v>
      </c>
      <c r="L356" s="31" t="s">
        <v>20</v>
      </c>
    </row>
    <row r="357" spans="1:12" ht="12.75" x14ac:dyDescent="0.2">
      <c r="A357" s="349"/>
      <c r="B357" s="347"/>
      <c r="C357" s="354"/>
      <c r="D357" s="357"/>
      <c r="E357" s="367"/>
      <c r="F357" s="367"/>
      <c r="G357" s="367"/>
      <c r="H357" s="367"/>
      <c r="I357" s="35" t="s">
        <v>57</v>
      </c>
      <c r="J357" s="36" t="s">
        <v>19</v>
      </c>
      <c r="K357" s="30">
        <v>3</v>
      </c>
      <c r="L357" s="31" t="s">
        <v>20</v>
      </c>
    </row>
    <row r="358" spans="1:12" ht="15" customHeight="1" x14ac:dyDescent="0.2">
      <c r="A358" s="123">
        <f>164+1+1+3</f>
        <v>169</v>
      </c>
      <c r="B358" s="86" t="s">
        <v>69</v>
      </c>
      <c r="C358" s="85" t="s">
        <v>19</v>
      </c>
      <c r="D358" s="90">
        <v>1</v>
      </c>
      <c r="E358" s="89"/>
      <c r="F358" s="89"/>
      <c r="G358" s="89"/>
      <c r="H358" s="89"/>
      <c r="I358" s="35" t="s">
        <v>70</v>
      </c>
      <c r="J358" s="36" t="s">
        <v>19</v>
      </c>
      <c r="K358" s="30">
        <v>1</v>
      </c>
      <c r="L358" s="31" t="s">
        <v>20</v>
      </c>
    </row>
    <row r="359" spans="1:12" ht="15" customHeight="1" x14ac:dyDescent="0.2">
      <c r="A359" s="124">
        <f>165+1+1+3</f>
        <v>170</v>
      </c>
      <c r="B359" s="74" t="s">
        <v>21</v>
      </c>
      <c r="C359" s="82" t="s">
        <v>0</v>
      </c>
      <c r="D359" s="84">
        <v>108</v>
      </c>
      <c r="E359" s="75"/>
      <c r="F359" s="75"/>
      <c r="G359" s="75"/>
      <c r="H359" s="75"/>
      <c r="I359" s="28" t="s">
        <v>22</v>
      </c>
      <c r="J359" s="36" t="s">
        <v>0</v>
      </c>
      <c r="K359" s="30">
        <v>108</v>
      </c>
      <c r="L359" s="31" t="s">
        <v>20</v>
      </c>
    </row>
    <row r="360" spans="1:12" ht="15" customHeight="1" x14ac:dyDescent="0.2">
      <c r="A360" s="343">
        <f>166+1+1+3</f>
        <v>171</v>
      </c>
      <c r="B360" s="342" t="s">
        <v>23</v>
      </c>
      <c r="C360" s="344" t="s">
        <v>0</v>
      </c>
      <c r="D360" s="345">
        <v>94</v>
      </c>
      <c r="E360" s="172"/>
      <c r="F360" s="172"/>
      <c r="G360" s="172"/>
      <c r="H360" s="172"/>
      <c r="I360" s="155" t="s">
        <v>114</v>
      </c>
      <c r="J360" s="36" t="s">
        <v>115</v>
      </c>
      <c r="K360" s="30">
        <v>1</v>
      </c>
      <c r="L360" s="156" t="s">
        <v>20</v>
      </c>
    </row>
    <row r="361" spans="1:12" ht="25.5" x14ac:dyDescent="0.2">
      <c r="A361" s="343"/>
      <c r="B361" s="342"/>
      <c r="C361" s="344"/>
      <c r="D361" s="345"/>
      <c r="E361" s="49"/>
      <c r="F361" s="49"/>
      <c r="G361" s="49"/>
      <c r="H361" s="49"/>
      <c r="I361" s="28" t="s">
        <v>22</v>
      </c>
      <c r="J361" s="36" t="s">
        <v>0</v>
      </c>
      <c r="K361" s="30">
        <v>94</v>
      </c>
      <c r="L361" s="31" t="s">
        <v>20</v>
      </c>
    </row>
    <row r="362" spans="1:12" ht="12.75" x14ac:dyDescent="0.2">
      <c r="A362" s="348">
        <f>167+1+1+3</f>
        <v>172</v>
      </c>
      <c r="B362" s="346" t="s">
        <v>24</v>
      </c>
      <c r="C362" s="352" t="s">
        <v>19</v>
      </c>
      <c r="D362" s="355">
        <v>4</v>
      </c>
      <c r="E362" s="366"/>
      <c r="F362" s="366"/>
      <c r="G362" s="366"/>
      <c r="H362" s="366"/>
      <c r="I362" s="40" t="s">
        <v>53</v>
      </c>
      <c r="J362" s="24" t="s">
        <v>19</v>
      </c>
      <c r="K362" s="27">
        <v>4</v>
      </c>
      <c r="L362" s="31" t="s">
        <v>20</v>
      </c>
    </row>
    <row r="363" spans="1:12" ht="38.25" x14ac:dyDescent="0.2">
      <c r="A363" s="349"/>
      <c r="B363" s="347"/>
      <c r="C363" s="354"/>
      <c r="D363" s="357"/>
      <c r="E363" s="367"/>
      <c r="F363" s="367"/>
      <c r="G363" s="367"/>
      <c r="H363" s="367"/>
      <c r="I363" s="40" t="s">
        <v>52</v>
      </c>
      <c r="J363" s="24" t="s">
        <v>19</v>
      </c>
      <c r="K363" s="27">
        <v>4</v>
      </c>
      <c r="L363" s="31" t="s">
        <v>20</v>
      </c>
    </row>
    <row r="364" spans="1:12" ht="38.25" x14ac:dyDescent="0.2">
      <c r="A364" s="348">
        <f>168+1+1+3</f>
        <v>173</v>
      </c>
      <c r="B364" s="346" t="s">
        <v>55</v>
      </c>
      <c r="C364" s="352" t="s">
        <v>19</v>
      </c>
      <c r="D364" s="355">
        <v>1</v>
      </c>
      <c r="E364" s="88"/>
      <c r="F364" s="88"/>
      <c r="G364" s="88"/>
      <c r="H364" s="88"/>
      <c r="I364" s="35" t="s">
        <v>54</v>
      </c>
      <c r="J364" s="36" t="s">
        <v>19</v>
      </c>
      <c r="K364" s="30">
        <v>1</v>
      </c>
      <c r="L364" s="31" t="s">
        <v>20</v>
      </c>
    </row>
    <row r="365" spans="1:12" ht="12.75" x14ac:dyDescent="0.2">
      <c r="A365" s="349"/>
      <c r="B365" s="347"/>
      <c r="C365" s="354"/>
      <c r="D365" s="357"/>
      <c r="E365" s="45"/>
      <c r="F365" s="45"/>
      <c r="G365" s="45"/>
      <c r="H365" s="45"/>
      <c r="I365" s="35" t="s">
        <v>53</v>
      </c>
      <c r="J365" s="36" t="s">
        <v>19</v>
      </c>
      <c r="K365" s="30">
        <v>1</v>
      </c>
      <c r="L365" s="31" t="s">
        <v>20</v>
      </c>
    </row>
    <row r="366" spans="1:12" ht="16.5" customHeight="1" x14ac:dyDescent="0.2">
      <c r="A366" s="343">
        <f>169+1+1+3</f>
        <v>174</v>
      </c>
      <c r="B366" s="342" t="s">
        <v>59</v>
      </c>
      <c r="C366" s="344" t="s">
        <v>0</v>
      </c>
      <c r="D366" s="345">
        <v>16</v>
      </c>
      <c r="E366" s="34"/>
      <c r="F366" s="34"/>
      <c r="G366" s="34"/>
      <c r="H366" s="34"/>
      <c r="I366" s="35" t="s">
        <v>114</v>
      </c>
      <c r="J366" s="36" t="s">
        <v>115</v>
      </c>
      <c r="K366" s="30">
        <v>1</v>
      </c>
      <c r="L366" s="156" t="s">
        <v>20</v>
      </c>
    </row>
    <row r="367" spans="1:12" ht="12.75" customHeight="1" x14ac:dyDescent="0.2">
      <c r="A367" s="343"/>
      <c r="B367" s="342"/>
      <c r="C367" s="344"/>
      <c r="D367" s="345"/>
      <c r="E367" s="49"/>
      <c r="F367" s="49"/>
      <c r="G367" s="49"/>
      <c r="H367" s="49"/>
      <c r="I367" s="28" t="s">
        <v>25</v>
      </c>
      <c r="J367" s="36" t="s">
        <v>0</v>
      </c>
      <c r="K367" s="30">
        <v>16</v>
      </c>
      <c r="L367" s="31" t="s">
        <v>20</v>
      </c>
    </row>
    <row r="368" spans="1:12" ht="12.75" x14ac:dyDescent="0.2">
      <c r="A368" s="343"/>
      <c r="B368" s="342"/>
      <c r="C368" s="344"/>
      <c r="D368" s="345"/>
      <c r="E368" s="49"/>
      <c r="F368" s="49"/>
      <c r="G368" s="49"/>
      <c r="H368" s="49"/>
      <c r="I368" s="28" t="s">
        <v>66</v>
      </c>
      <c r="J368" s="36" t="s">
        <v>19</v>
      </c>
      <c r="K368" s="30">
        <v>16</v>
      </c>
      <c r="L368" s="31" t="s">
        <v>20</v>
      </c>
    </row>
    <row r="369" spans="1:12" ht="15.75" x14ac:dyDescent="0.2">
      <c r="A369" s="162">
        <f>170+1+1+3</f>
        <v>175</v>
      </c>
      <c r="B369" s="76" t="s">
        <v>58</v>
      </c>
      <c r="C369" s="85" t="s">
        <v>0</v>
      </c>
      <c r="D369" s="87">
        <v>11</v>
      </c>
      <c r="E369" s="72"/>
      <c r="F369" s="72"/>
      <c r="G369" s="72"/>
      <c r="H369" s="72"/>
      <c r="I369" s="81" t="s">
        <v>25</v>
      </c>
      <c r="J369" s="24" t="s">
        <v>0</v>
      </c>
      <c r="K369" s="27">
        <v>11</v>
      </c>
      <c r="L369" s="31" t="s">
        <v>20</v>
      </c>
    </row>
    <row r="370" spans="1:12" ht="12.75" x14ac:dyDescent="0.2">
      <c r="A370" s="343">
        <f>171+1+1+3</f>
        <v>176</v>
      </c>
      <c r="B370" s="342" t="s">
        <v>60</v>
      </c>
      <c r="C370" s="352" t="s">
        <v>0</v>
      </c>
      <c r="D370" s="345">
        <v>27</v>
      </c>
      <c r="E370" s="44"/>
      <c r="F370" s="44"/>
      <c r="G370" s="44"/>
      <c r="H370" s="44"/>
      <c r="I370" s="28" t="s">
        <v>66</v>
      </c>
      <c r="J370" s="36" t="s">
        <v>19</v>
      </c>
      <c r="K370" s="30">
        <v>27</v>
      </c>
      <c r="L370" s="31" t="s">
        <v>20</v>
      </c>
    </row>
    <row r="371" spans="1:12" ht="12.75" x14ac:dyDescent="0.2">
      <c r="A371" s="343"/>
      <c r="B371" s="342"/>
      <c r="C371" s="354"/>
      <c r="D371" s="345"/>
      <c r="E371" s="44"/>
      <c r="F371" s="77"/>
      <c r="G371" s="77"/>
      <c r="H371" s="77"/>
      <c r="I371" s="81" t="s">
        <v>25</v>
      </c>
      <c r="J371" s="24" t="s">
        <v>0</v>
      </c>
      <c r="K371" s="27">
        <v>27</v>
      </c>
      <c r="L371" s="83" t="s">
        <v>20</v>
      </c>
    </row>
    <row r="372" spans="1:12" ht="12.75" x14ac:dyDescent="0.2">
      <c r="A372" s="350">
        <f>172+1+1+3</f>
        <v>177</v>
      </c>
      <c r="B372" s="351" t="s">
        <v>61</v>
      </c>
      <c r="C372" s="353" t="s">
        <v>19</v>
      </c>
      <c r="D372" s="358">
        <v>13</v>
      </c>
      <c r="E372" s="72"/>
      <c r="F372" s="72"/>
      <c r="G372" s="72"/>
      <c r="H372" s="72"/>
      <c r="I372" s="81" t="s">
        <v>62</v>
      </c>
      <c r="J372" s="24" t="s">
        <v>19</v>
      </c>
      <c r="K372" s="27">
        <v>13</v>
      </c>
      <c r="L372" s="31" t="s">
        <v>20</v>
      </c>
    </row>
    <row r="373" spans="1:12" ht="12.75" x14ac:dyDescent="0.2">
      <c r="A373" s="350"/>
      <c r="B373" s="351"/>
      <c r="C373" s="353"/>
      <c r="D373" s="358"/>
      <c r="E373" s="72"/>
      <c r="F373" s="72"/>
      <c r="G373" s="72"/>
      <c r="H373" s="72"/>
      <c r="I373" s="81" t="s">
        <v>63</v>
      </c>
      <c r="J373" s="24" t="s">
        <v>19</v>
      </c>
      <c r="K373" s="27">
        <v>13</v>
      </c>
      <c r="L373" s="31" t="s">
        <v>20</v>
      </c>
    </row>
    <row r="374" spans="1:12" s="3" customFormat="1" ht="15.75" x14ac:dyDescent="0.25">
      <c r="A374" s="126"/>
      <c r="B374" s="78" t="s">
        <v>86</v>
      </c>
      <c r="C374" s="19"/>
      <c r="D374" s="21"/>
      <c r="E374" s="19"/>
      <c r="F374" s="19"/>
      <c r="G374" s="19"/>
      <c r="H374" s="32"/>
      <c r="I374" s="19"/>
      <c r="J374" s="19"/>
      <c r="K374" s="23"/>
      <c r="L374" s="19"/>
    </row>
    <row r="375" spans="1:12" s="3" customFormat="1" ht="21.75" customHeight="1" x14ac:dyDescent="0.2">
      <c r="A375" s="125">
        <f>173+1+1+3</f>
        <v>178</v>
      </c>
      <c r="B375" s="28" t="s">
        <v>48</v>
      </c>
      <c r="C375" s="31" t="s">
        <v>19</v>
      </c>
      <c r="D375" s="33">
        <v>2</v>
      </c>
      <c r="E375" s="34"/>
      <c r="F375" s="34"/>
      <c r="G375" s="34"/>
      <c r="H375" s="34"/>
      <c r="I375" s="35"/>
      <c r="J375" s="36"/>
      <c r="K375" s="30"/>
      <c r="L375" s="31" t="s">
        <v>20</v>
      </c>
    </row>
    <row r="376" spans="1:12" ht="12.75" x14ac:dyDescent="0.2">
      <c r="A376" s="348">
        <f>174+1+1+3</f>
        <v>179</v>
      </c>
      <c r="B376" s="346" t="s">
        <v>50</v>
      </c>
      <c r="C376" s="352" t="s">
        <v>0</v>
      </c>
      <c r="D376" s="355">
        <v>11</v>
      </c>
      <c r="E376" s="366"/>
      <c r="F376" s="366"/>
      <c r="G376" s="366"/>
      <c r="H376" s="366"/>
      <c r="I376" s="35" t="s">
        <v>51</v>
      </c>
      <c r="J376" s="36" t="s">
        <v>0</v>
      </c>
      <c r="K376" s="30">
        <v>11</v>
      </c>
      <c r="L376" s="31" t="s">
        <v>20</v>
      </c>
    </row>
    <row r="377" spans="1:12" ht="25.5" x14ac:dyDescent="0.2">
      <c r="A377" s="350"/>
      <c r="B377" s="351"/>
      <c r="C377" s="353"/>
      <c r="D377" s="356"/>
      <c r="E377" s="374"/>
      <c r="F377" s="374"/>
      <c r="G377" s="374"/>
      <c r="H377" s="374"/>
      <c r="I377" s="35" t="s">
        <v>56</v>
      </c>
      <c r="J377" s="36" t="s">
        <v>19</v>
      </c>
      <c r="K377" s="30">
        <v>1</v>
      </c>
      <c r="L377" s="31" t="s">
        <v>20</v>
      </c>
    </row>
    <row r="378" spans="1:12" ht="12.75" x14ac:dyDescent="0.2">
      <c r="A378" s="349"/>
      <c r="B378" s="347"/>
      <c r="C378" s="354"/>
      <c r="D378" s="357"/>
      <c r="E378" s="367"/>
      <c r="F378" s="367"/>
      <c r="G378" s="367"/>
      <c r="H378" s="367"/>
      <c r="I378" s="35" t="s">
        <v>57</v>
      </c>
      <c r="J378" s="36" t="s">
        <v>19</v>
      </c>
      <c r="K378" s="30">
        <v>4</v>
      </c>
      <c r="L378" s="31" t="s">
        <v>20</v>
      </c>
    </row>
    <row r="379" spans="1:12" ht="15" customHeight="1" x14ac:dyDescent="0.2">
      <c r="A379" s="123">
        <f>175+1+1+3</f>
        <v>180</v>
      </c>
      <c r="B379" s="86" t="s">
        <v>69</v>
      </c>
      <c r="C379" s="85" t="s">
        <v>19</v>
      </c>
      <c r="D379" s="90">
        <v>1</v>
      </c>
      <c r="E379" s="89"/>
      <c r="F379" s="89"/>
      <c r="G379" s="89"/>
      <c r="H379" s="89"/>
      <c r="I379" s="35" t="s">
        <v>70</v>
      </c>
      <c r="J379" s="36" t="s">
        <v>19</v>
      </c>
      <c r="K379" s="30">
        <v>1</v>
      </c>
      <c r="L379" s="31" t="s">
        <v>20</v>
      </c>
    </row>
    <row r="380" spans="1:12" ht="15" customHeight="1" x14ac:dyDescent="0.2">
      <c r="A380" s="124">
        <f>176+1+1+3</f>
        <v>181</v>
      </c>
      <c r="B380" s="74" t="s">
        <v>21</v>
      </c>
      <c r="C380" s="82" t="s">
        <v>0</v>
      </c>
      <c r="D380" s="84">
        <v>181</v>
      </c>
      <c r="E380" s="75"/>
      <c r="F380" s="75"/>
      <c r="G380" s="75"/>
      <c r="H380" s="75"/>
      <c r="I380" s="28" t="s">
        <v>22</v>
      </c>
      <c r="J380" s="36" t="s">
        <v>0</v>
      </c>
      <c r="K380" s="30">
        <v>181</v>
      </c>
      <c r="L380" s="31" t="s">
        <v>20</v>
      </c>
    </row>
    <row r="381" spans="1:12" ht="15" customHeight="1" x14ac:dyDescent="0.2">
      <c r="A381" s="348">
        <f>177+1+1+3</f>
        <v>182</v>
      </c>
      <c r="B381" s="346" t="s">
        <v>23</v>
      </c>
      <c r="C381" s="352" t="s">
        <v>0</v>
      </c>
      <c r="D381" s="359">
        <v>94</v>
      </c>
      <c r="E381" s="172"/>
      <c r="F381" s="172"/>
      <c r="G381" s="172"/>
      <c r="H381" s="172"/>
      <c r="I381" s="155" t="s">
        <v>114</v>
      </c>
      <c r="J381" s="36" t="s">
        <v>115</v>
      </c>
      <c r="K381" s="30">
        <v>1</v>
      </c>
      <c r="L381" s="156" t="s">
        <v>20</v>
      </c>
    </row>
    <row r="382" spans="1:12" ht="25.5" x14ac:dyDescent="0.2">
      <c r="A382" s="349"/>
      <c r="B382" s="347"/>
      <c r="C382" s="354"/>
      <c r="D382" s="360"/>
      <c r="E382" s="49"/>
      <c r="F382" s="49"/>
      <c r="G382" s="49"/>
      <c r="H382" s="49"/>
      <c r="I382" s="28" t="s">
        <v>22</v>
      </c>
      <c r="J382" s="36" t="s">
        <v>0</v>
      </c>
      <c r="K382" s="30">
        <v>94</v>
      </c>
      <c r="L382" s="31" t="s">
        <v>20</v>
      </c>
    </row>
    <row r="383" spans="1:12" ht="12.75" x14ac:dyDescent="0.2">
      <c r="A383" s="348">
        <f>178+1+1+3</f>
        <v>183</v>
      </c>
      <c r="B383" s="346" t="s">
        <v>24</v>
      </c>
      <c r="C383" s="352" t="s">
        <v>19</v>
      </c>
      <c r="D383" s="355">
        <v>4</v>
      </c>
      <c r="E383" s="366"/>
      <c r="F383" s="366"/>
      <c r="G383" s="366"/>
      <c r="H383" s="366"/>
      <c r="I383" s="40" t="s">
        <v>53</v>
      </c>
      <c r="J383" s="24" t="s">
        <v>19</v>
      </c>
      <c r="K383" s="27">
        <v>4</v>
      </c>
      <c r="L383" s="31" t="s">
        <v>20</v>
      </c>
    </row>
    <row r="384" spans="1:12" ht="38.25" x14ac:dyDescent="0.2">
      <c r="A384" s="349"/>
      <c r="B384" s="347"/>
      <c r="C384" s="354"/>
      <c r="D384" s="357"/>
      <c r="E384" s="367"/>
      <c r="F384" s="367"/>
      <c r="G384" s="367"/>
      <c r="H384" s="367"/>
      <c r="I384" s="40" t="s">
        <v>52</v>
      </c>
      <c r="J384" s="24" t="s">
        <v>19</v>
      </c>
      <c r="K384" s="27">
        <v>4</v>
      </c>
      <c r="L384" s="31" t="s">
        <v>20</v>
      </c>
    </row>
    <row r="385" spans="1:12" customFormat="1" ht="38.25" x14ac:dyDescent="0.25">
      <c r="A385" s="348">
        <f>179+1+1+3</f>
        <v>184</v>
      </c>
      <c r="B385" s="346" t="s">
        <v>55</v>
      </c>
      <c r="C385" s="352" t="s">
        <v>19</v>
      </c>
      <c r="D385" s="355">
        <v>1</v>
      </c>
      <c r="E385" s="88"/>
      <c r="F385" s="88"/>
      <c r="G385" s="88"/>
      <c r="H385" s="88"/>
      <c r="I385" s="35" t="s">
        <v>54</v>
      </c>
      <c r="J385" s="36" t="s">
        <v>19</v>
      </c>
      <c r="K385" s="30">
        <v>1</v>
      </c>
      <c r="L385" s="31" t="s">
        <v>20</v>
      </c>
    </row>
    <row r="386" spans="1:12" customFormat="1" ht="26.25" customHeight="1" x14ac:dyDescent="0.25">
      <c r="A386" s="349"/>
      <c r="B386" s="347"/>
      <c r="C386" s="354"/>
      <c r="D386" s="357"/>
      <c r="E386" s="45"/>
      <c r="F386" s="45"/>
      <c r="G386" s="45"/>
      <c r="H386" s="45"/>
      <c r="I386" s="35" t="s">
        <v>53</v>
      </c>
      <c r="J386" s="36" t="s">
        <v>19</v>
      </c>
      <c r="K386" s="30">
        <v>1</v>
      </c>
      <c r="L386" s="31" t="s">
        <v>20</v>
      </c>
    </row>
    <row r="387" spans="1:12" customFormat="1" ht="16.5" customHeight="1" x14ac:dyDescent="0.25">
      <c r="A387" s="343">
        <f>180+1+1+3</f>
        <v>185</v>
      </c>
      <c r="B387" s="342" t="s">
        <v>59</v>
      </c>
      <c r="C387" s="344" t="s">
        <v>0</v>
      </c>
      <c r="D387" s="345">
        <v>16</v>
      </c>
      <c r="E387" s="34"/>
      <c r="F387" s="34"/>
      <c r="G387" s="34"/>
      <c r="H387" s="34"/>
      <c r="I387" s="35" t="s">
        <v>114</v>
      </c>
      <c r="J387" s="36" t="s">
        <v>115</v>
      </c>
      <c r="K387" s="30">
        <v>1</v>
      </c>
      <c r="L387" s="156" t="s">
        <v>20</v>
      </c>
    </row>
    <row r="388" spans="1:12" customFormat="1" ht="15" customHeight="1" x14ac:dyDescent="0.25">
      <c r="A388" s="343"/>
      <c r="B388" s="342"/>
      <c r="C388" s="344"/>
      <c r="D388" s="345"/>
      <c r="E388" s="49"/>
      <c r="F388" s="49"/>
      <c r="G388" s="49"/>
      <c r="H388" s="49"/>
      <c r="I388" s="28" t="s">
        <v>25</v>
      </c>
      <c r="J388" s="36" t="s">
        <v>0</v>
      </c>
      <c r="K388" s="30">
        <v>16</v>
      </c>
      <c r="L388" s="31" t="s">
        <v>20</v>
      </c>
    </row>
    <row r="389" spans="1:12" ht="27" customHeight="1" x14ac:dyDescent="0.2">
      <c r="A389" s="343"/>
      <c r="B389" s="342"/>
      <c r="C389" s="344"/>
      <c r="D389" s="345"/>
      <c r="E389" s="49"/>
      <c r="F389" s="49"/>
      <c r="G389" s="49"/>
      <c r="H389" s="49"/>
      <c r="I389" s="28" t="s">
        <v>66</v>
      </c>
      <c r="J389" s="36" t="s">
        <v>19</v>
      </c>
      <c r="K389" s="30">
        <v>16</v>
      </c>
      <c r="L389" s="31" t="s">
        <v>20</v>
      </c>
    </row>
    <row r="390" spans="1:12" ht="15.75" x14ac:dyDescent="0.2">
      <c r="A390" s="162">
        <f>181+1+1+3</f>
        <v>186</v>
      </c>
      <c r="B390" s="76" t="s">
        <v>58</v>
      </c>
      <c r="C390" s="85" t="s">
        <v>0</v>
      </c>
      <c r="D390" s="87">
        <v>13</v>
      </c>
      <c r="E390" s="72"/>
      <c r="F390" s="72"/>
      <c r="G390" s="72"/>
      <c r="H390" s="72"/>
      <c r="I390" s="81" t="s">
        <v>25</v>
      </c>
      <c r="J390" s="24" t="s">
        <v>0</v>
      </c>
      <c r="K390" s="27">
        <v>13</v>
      </c>
      <c r="L390" s="31" t="s">
        <v>20</v>
      </c>
    </row>
    <row r="391" spans="1:12" ht="12.75" x14ac:dyDescent="0.2">
      <c r="A391" s="343">
        <f>182+1+1+3</f>
        <v>187</v>
      </c>
      <c r="B391" s="342" t="s">
        <v>60</v>
      </c>
      <c r="C391" s="352" t="s">
        <v>0</v>
      </c>
      <c r="D391" s="345">
        <v>34</v>
      </c>
      <c r="E391" s="44"/>
      <c r="F391" s="44"/>
      <c r="G391" s="44"/>
      <c r="H391" s="44"/>
      <c r="I391" s="28" t="s">
        <v>66</v>
      </c>
      <c r="J391" s="36" t="s">
        <v>19</v>
      </c>
      <c r="K391" s="30">
        <v>34</v>
      </c>
      <c r="L391" s="31" t="s">
        <v>20</v>
      </c>
    </row>
    <row r="392" spans="1:12" ht="12.75" x14ac:dyDescent="0.2">
      <c r="A392" s="348"/>
      <c r="B392" s="346"/>
      <c r="C392" s="353"/>
      <c r="D392" s="359"/>
      <c r="E392" s="44"/>
      <c r="F392" s="77"/>
      <c r="G392" s="77"/>
      <c r="H392" s="77"/>
      <c r="I392" s="86" t="s">
        <v>25</v>
      </c>
      <c r="J392" s="94" t="s">
        <v>0</v>
      </c>
      <c r="K392" s="79">
        <v>34</v>
      </c>
      <c r="L392" s="85" t="s">
        <v>20</v>
      </c>
    </row>
    <row r="393" spans="1:12" ht="12.75" x14ac:dyDescent="0.2">
      <c r="A393" s="343">
        <f>183+1+1+3</f>
        <v>188</v>
      </c>
      <c r="B393" s="342" t="s">
        <v>61</v>
      </c>
      <c r="C393" s="344" t="s">
        <v>19</v>
      </c>
      <c r="D393" s="345">
        <v>13</v>
      </c>
      <c r="E393" s="49"/>
      <c r="F393" s="49"/>
      <c r="G393" s="49"/>
      <c r="H393" s="49"/>
      <c r="I393" s="28" t="s">
        <v>62</v>
      </c>
      <c r="J393" s="36" t="s">
        <v>19</v>
      </c>
      <c r="K393" s="30">
        <v>13</v>
      </c>
      <c r="L393" s="31" t="s">
        <v>20</v>
      </c>
    </row>
    <row r="394" spans="1:12" ht="12.75" x14ac:dyDescent="0.2">
      <c r="A394" s="343"/>
      <c r="B394" s="342"/>
      <c r="C394" s="344"/>
      <c r="D394" s="345"/>
      <c r="E394" s="49"/>
      <c r="F394" s="49"/>
      <c r="G394" s="49"/>
      <c r="H394" s="49"/>
      <c r="I394" s="28" t="s">
        <v>63</v>
      </c>
      <c r="J394" s="36" t="s">
        <v>19</v>
      </c>
      <c r="K394" s="30">
        <v>13</v>
      </c>
      <c r="L394" s="31" t="s">
        <v>20</v>
      </c>
    </row>
    <row r="395" spans="1:12" ht="15.75" x14ac:dyDescent="0.25">
      <c r="A395" s="126"/>
      <c r="B395" s="78" t="s">
        <v>104</v>
      </c>
      <c r="C395" s="19"/>
      <c r="D395" s="21"/>
      <c r="E395" s="19"/>
      <c r="F395" s="19"/>
      <c r="G395" s="19"/>
      <c r="H395" s="32"/>
      <c r="I395" s="19"/>
      <c r="J395" s="19"/>
      <c r="K395" s="23"/>
      <c r="L395" s="19"/>
    </row>
    <row r="396" spans="1:12" ht="12.75" x14ac:dyDescent="0.2">
      <c r="A396" s="166">
        <v>189</v>
      </c>
      <c r="B396" s="136" t="s">
        <v>112</v>
      </c>
      <c r="C396" s="138" t="s">
        <v>19</v>
      </c>
      <c r="D396" s="151">
        <v>1</v>
      </c>
      <c r="E396" s="138"/>
      <c r="F396" s="138"/>
      <c r="G396" s="138"/>
      <c r="H396" s="167"/>
      <c r="I396" s="138"/>
      <c r="J396" s="138"/>
      <c r="K396" s="168"/>
      <c r="L396" s="149" t="s">
        <v>20</v>
      </c>
    </row>
    <row r="397" spans="1:12" ht="12.75" x14ac:dyDescent="0.2">
      <c r="A397" s="166">
        <f>173+1+1+1+13</f>
        <v>189</v>
      </c>
      <c r="B397" s="115" t="s">
        <v>48</v>
      </c>
      <c r="C397" s="111" t="s">
        <v>19</v>
      </c>
      <c r="D397" s="33">
        <v>4</v>
      </c>
      <c r="E397" s="34"/>
      <c r="F397" s="34"/>
      <c r="G397" s="34"/>
      <c r="H397" s="34"/>
      <c r="I397" s="35"/>
      <c r="J397" s="36"/>
      <c r="K397" s="30"/>
      <c r="L397" s="111" t="s">
        <v>20</v>
      </c>
    </row>
    <row r="398" spans="1:12" ht="12.75" x14ac:dyDescent="0.2">
      <c r="A398" s="361">
        <f>174+1+1+1+13</f>
        <v>190</v>
      </c>
      <c r="B398" s="346" t="s">
        <v>50</v>
      </c>
      <c r="C398" s="352" t="s">
        <v>0</v>
      </c>
      <c r="D398" s="355">
        <v>2.5</v>
      </c>
      <c r="E398" s="366"/>
      <c r="F398" s="366"/>
      <c r="G398" s="366"/>
      <c r="H398" s="366"/>
      <c r="I398" s="35" t="s">
        <v>51</v>
      </c>
      <c r="J398" s="36" t="s">
        <v>0</v>
      </c>
      <c r="K398" s="30">
        <v>2.5</v>
      </c>
      <c r="L398" s="111" t="s">
        <v>20</v>
      </c>
    </row>
    <row r="399" spans="1:12" ht="12.75" x14ac:dyDescent="0.2">
      <c r="A399" s="362"/>
      <c r="B399" s="347"/>
      <c r="C399" s="354"/>
      <c r="D399" s="357"/>
      <c r="E399" s="367"/>
      <c r="F399" s="367"/>
      <c r="G399" s="367"/>
      <c r="H399" s="367"/>
      <c r="I399" s="35" t="s">
        <v>57</v>
      </c>
      <c r="J399" s="36" t="s">
        <v>19</v>
      </c>
      <c r="K399" s="30">
        <v>1</v>
      </c>
      <c r="L399" s="111" t="s">
        <v>20</v>
      </c>
    </row>
    <row r="400" spans="1:12" ht="25.5" x14ac:dyDescent="0.2">
      <c r="A400" s="166">
        <f>176+1+1+1+13</f>
        <v>192</v>
      </c>
      <c r="B400" s="74" t="s">
        <v>21</v>
      </c>
      <c r="C400" s="110" t="s">
        <v>0</v>
      </c>
      <c r="D400" s="114">
        <v>68</v>
      </c>
      <c r="E400" s="75"/>
      <c r="F400" s="75"/>
      <c r="G400" s="75"/>
      <c r="H400" s="75"/>
      <c r="I400" s="115" t="s">
        <v>22</v>
      </c>
      <c r="J400" s="36" t="s">
        <v>0</v>
      </c>
      <c r="K400" s="30">
        <v>68</v>
      </c>
      <c r="L400" s="111" t="s">
        <v>20</v>
      </c>
    </row>
    <row r="401" spans="1:12" ht="15" customHeight="1" x14ac:dyDescent="0.2">
      <c r="A401" s="361">
        <f>177+1+1+1+13</f>
        <v>193</v>
      </c>
      <c r="B401" s="346" t="s">
        <v>23</v>
      </c>
      <c r="C401" s="352" t="s">
        <v>0</v>
      </c>
      <c r="D401" s="359">
        <v>69</v>
      </c>
      <c r="E401" s="172"/>
      <c r="F401" s="172"/>
      <c r="G401" s="172"/>
      <c r="H401" s="172"/>
      <c r="I401" s="155" t="s">
        <v>114</v>
      </c>
      <c r="J401" s="36" t="s">
        <v>115</v>
      </c>
      <c r="K401" s="30">
        <v>1</v>
      </c>
      <c r="L401" s="156" t="s">
        <v>20</v>
      </c>
    </row>
    <row r="402" spans="1:12" ht="25.5" x14ac:dyDescent="0.2">
      <c r="A402" s="362"/>
      <c r="B402" s="347"/>
      <c r="C402" s="354"/>
      <c r="D402" s="360"/>
      <c r="E402" s="49"/>
      <c r="F402" s="49"/>
      <c r="G402" s="49"/>
      <c r="H402" s="49"/>
      <c r="I402" s="115" t="s">
        <v>22</v>
      </c>
      <c r="J402" s="36" t="s">
        <v>0</v>
      </c>
      <c r="K402" s="30">
        <v>69</v>
      </c>
      <c r="L402" s="111" t="s">
        <v>20</v>
      </c>
    </row>
    <row r="403" spans="1:12" ht="12.75" x14ac:dyDescent="0.2">
      <c r="A403" s="361">
        <f>178+1+1+1+13</f>
        <v>194</v>
      </c>
      <c r="B403" s="346" t="s">
        <v>24</v>
      </c>
      <c r="C403" s="352" t="s">
        <v>19</v>
      </c>
      <c r="D403" s="355">
        <v>1</v>
      </c>
      <c r="E403" s="366"/>
      <c r="F403" s="366"/>
      <c r="G403" s="366"/>
      <c r="H403" s="366"/>
      <c r="I403" s="40" t="s">
        <v>53</v>
      </c>
      <c r="J403" s="24" t="s">
        <v>19</v>
      </c>
      <c r="K403" s="27">
        <v>1</v>
      </c>
      <c r="L403" s="111" t="s">
        <v>20</v>
      </c>
    </row>
    <row r="404" spans="1:12" ht="38.25" x14ac:dyDescent="0.2">
      <c r="A404" s="362"/>
      <c r="B404" s="347"/>
      <c r="C404" s="354"/>
      <c r="D404" s="357"/>
      <c r="E404" s="367"/>
      <c r="F404" s="367"/>
      <c r="G404" s="367"/>
      <c r="H404" s="367"/>
      <c r="I404" s="40" t="s">
        <v>52</v>
      </c>
      <c r="J404" s="24" t="s">
        <v>19</v>
      </c>
      <c r="K404" s="27">
        <v>2</v>
      </c>
      <c r="L404" s="111" t="s">
        <v>20</v>
      </c>
    </row>
    <row r="405" spans="1:12" ht="38.25" x14ac:dyDescent="0.2">
      <c r="A405" s="361">
        <f>179+1+1+1+13</f>
        <v>195</v>
      </c>
      <c r="B405" s="363" t="s">
        <v>55</v>
      </c>
      <c r="C405" s="352" t="s">
        <v>19</v>
      </c>
      <c r="D405" s="355">
        <v>1</v>
      </c>
      <c r="E405" s="116"/>
      <c r="F405" s="116"/>
      <c r="G405" s="116"/>
      <c r="H405" s="116"/>
      <c r="I405" s="35" t="s">
        <v>54</v>
      </c>
      <c r="J405" s="36" t="s">
        <v>19</v>
      </c>
      <c r="K405" s="30">
        <v>1</v>
      </c>
      <c r="L405" s="111" t="s">
        <v>20</v>
      </c>
    </row>
    <row r="406" spans="1:12" ht="12.75" x14ac:dyDescent="0.2">
      <c r="A406" s="362"/>
      <c r="B406" s="364"/>
      <c r="C406" s="354"/>
      <c r="D406" s="357"/>
      <c r="E406" s="45"/>
      <c r="F406" s="45"/>
      <c r="G406" s="45"/>
      <c r="H406" s="45"/>
      <c r="I406" s="35" t="s">
        <v>53</v>
      </c>
      <c r="J406" s="36" t="s">
        <v>19</v>
      </c>
      <c r="K406" s="30">
        <v>1</v>
      </c>
      <c r="L406" s="111" t="s">
        <v>20</v>
      </c>
    </row>
    <row r="407" spans="1:12" ht="16.5" customHeight="1" x14ac:dyDescent="0.2">
      <c r="A407" s="361">
        <f>180+1+1+1+13</f>
        <v>196</v>
      </c>
      <c r="B407" s="346" t="s">
        <v>59</v>
      </c>
      <c r="C407" s="352" t="s">
        <v>0</v>
      </c>
      <c r="D407" s="359">
        <v>15</v>
      </c>
      <c r="E407" s="44"/>
      <c r="F407" s="44"/>
      <c r="G407" s="44"/>
      <c r="H407" s="44"/>
      <c r="I407" s="35" t="s">
        <v>114</v>
      </c>
      <c r="J407" s="36" t="s">
        <v>115</v>
      </c>
      <c r="K407" s="30">
        <v>1</v>
      </c>
      <c r="L407" s="156" t="s">
        <v>20</v>
      </c>
    </row>
    <row r="408" spans="1:12" ht="12.75" customHeight="1" x14ac:dyDescent="0.2">
      <c r="A408" s="365"/>
      <c r="B408" s="351"/>
      <c r="C408" s="353"/>
      <c r="D408" s="358"/>
      <c r="E408" s="39"/>
      <c r="F408" s="39"/>
      <c r="G408" s="39"/>
      <c r="H408" s="39"/>
      <c r="I408" s="115" t="s">
        <v>25</v>
      </c>
      <c r="J408" s="36" t="s">
        <v>0</v>
      </c>
      <c r="K408" s="30">
        <v>15</v>
      </c>
      <c r="L408" s="111" t="s">
        <v>20</v>
      </c>
    </row>
    <row r="409" spans="1:12" ht="12.75" x14ac:dyDescent="0.2">
      <c r="A409" s="362"/>
      <c r="B409" s="347"/>
      <c r="C409" s="354"/>
      <c r="D409" s="360"/>
      <c r="E409" s="39"/>
      <c r="F409" s="39"/>
      <c r="G409" s="39"/>
      <c r="H409" s="39"/>
      <c r="I409" s="115" t="s">
        <v>66</v>
      </c>
      <c r="J409" s="36" t="s">
        <v>19</v>
      </c>
      <c r="K409" s="30">
        <v>15</v>
      </c>
      <c r="L409" s="111" t="s">
        <v>20</v>
      </c>
    </row>
    <row r="410" spans="1:12" ht="15.75" x14ac:dyDescent="0.2">
      <c r="A410" s="166">
        <f>181+1+1+1+13</f>
        <v>197</v>
      </c>
      <c r="B410" s="76" t="s">
        <v>58</v>
      </c>
      <c r="C410" s="112" t="s">
        <v>0</v>
      </c>
      <c r="D410" s="117">
        <v>2.5</v>
      </c>
      <c r="E410" s="72"/>
      <c r="F410" s="72"/>
      <c r="G410" s="72"/>
      <c r="H410" s="72"/>
      <c r="I410" s="113" t="s">
        <v>25</v>
      </c>
      <c r="J410" s="24" t="s">
        <v>0</v>
      </c>
      <c r="K410" s="27">
        <v>2.5</v>
      </c>
      <c r="L410" s="111" t="s">
        <v>20</v>
      </c>
    </row>
    <row r="411" spans="1:12" ht="12.75" x14ac:dyDescent="0.2">
      <c r="A411" s="361">
        <v>198</v>
      </c>
      <c r="B411" s="342" t="s">
        <v>61</v>
      </c>
      <c r="C411" s="344" t="s">
        <v>19</v>
      </c>
      <c r="D411" s="345">
        <v>3</v>
      </c>
      <c r="E411" s="49"/>
      <c r="F411" s="49"/>
      <c r="G411" s="49"/>
      <c r="H411" s="49"/>
      <c r="I411" s="115" t="s">
        <v>62</v>
      </c>
      <c r="J411" s="36" t="s">
        <v>19</v>
      </c>
      <c r="K411" s="30">
        <v>3</v>
      </c>
      <c r="L411" s="111" t="s">
        <v>20</v>
      </c>
    </row>
    <row r="412" spans="1:12" ht="12.75" x14ac:dyDescent="0.2">
      <c r="A412" s="362"/>
      <c r="B412" s="342"/>
      <c r="C412" s="344"/>
      <c r="D412" s="345"/>
      <c r="E412" s="49"/>
      <c r="F412" s="49"/>
      <c r="G412" s="49"/>
      <c r="H412" s="49"/>
      <c r="I412" s="115" t="s">
        <v>63</v>
      </c>
      <c r="J412" s="36" t="s">
        <v>19</v>
      </c>
      <c r="K412" s="30">
        <v>3</v>
      </c>
      <c r="L412" s="111" t="s">
        <v>20</v>
      </c>
    </row>
    <row r="413" spans="1:12" ht="12.75" x14ac:dyDescent="0.2">
      <c r="A413" s="166">
        <v>199</v>
      </c>
      <c r="B413" s="155" t="s">
        <v>113</v>
      </c>
      <c r="C413" s="156" t="s">
        <v>19</v>
      </c>
      <c r="D413" s="157">
        <v>210</v>
      </c>
      <c r="E413" s="49"/>
      <c r="F413" s="49"/>
      <c r="G413" s="49"/>
      <c r="H413" s="49"/>
      <c r="I413" s="155"/>
      <c r="J413" s="36"/>
      <c r="K413" s="30"/>
      <c r="L413" s="156"/>
    </row>
    <row r="414" spans="1:12" ht="90" x14ac:dyDescent="0.25">
      <c r="A414" s="166">
        <f>184+1+1+1+13</f>
        <v>200</v>
      </c>
      <c r="B414" s="95" t="s">
        <v>88</v>
      </c>
      <c r="C414" s="96"/>
      <c r="D414" s="97">
        <v>1</v>
      </c>
      <c r="E414" s="98"/>
      <c r="F414" s="98"/>
      <c r="G414" s="98"/>
      <c r="H414" s="98"/>
      <c r="I414" s="98"/>
      <c r="J414" s="99"/>
      <c r="K414" s="100"/>
      <c r="L414" s="31" t="s">
        <v>20</v>
      </c>
    </row>
    <row r="415" spans="1:12" ht="25.5" x14ac:dyDescent="0.2">
      <c r="A415" s="166">
        <f>185+1+1+1+13</f>
        <v>201</v>
      </c>
      <c r="B415" s="28" t="s">
        <v>36</v>
      </c>
      <c r="C415" s="31" t="s">
        <v>19</v>
      </c>
      <c r="D415" s="169">
        <v>99</v>
      </c>
      <c r="E415" s="49"/>
      <c r="F415" s="49"/>
      <c r="G415" s="49"/>
      <c r="H415" s="49"/>
      <c r="I415" s="28"/>
      <c r="J415" s="29"/>
      <c r="K415" s="101"/>
      <c r="L415" s="31" t="s">
        <v>20</v>
      </c>
    </row>
    <row r="416" spans="1:12" ht="12.75" x14ac:dyDescent="0.2">
      <c r="A416" s="166">
        <f>186+1+1+1+13</f>
        <v>202</v>
      </c>
      <c r="B416" s="28" t="s">
        <v>10</v>
      </c>
      <c r="C416" s="31" t="s">
        <v>19</v>
      </c>
      <c r="D416" s="170">
        <v>99</v>
      </c>
      <c r="E416" s="34"/>
      <c r="F416" s="34"/>
      <c r="G416" s="34"/>
      <c r="H416" s="34"/>
      <c r="I416" s="50"/>
      <c r="J416" s="51"/>
      <c r="K416" s="102"/>
      <c r="L416" s="31" t="s">
        <v>20</v>
      </c>
    </row>
    <row r="417" spans="1:12" ht="12.75" x14ac:dyDescent="0.2">
      <c r="A417" s="166">
        <f>187+1+1+1+13</f>
        <v>203</v>
      </c>
      <c r="B417" s="28" t="s">
        <v>37</v>
      </c>
      <c r="C417" s="31" t="s">
        <v>11</v>
      </c>
      <c r="D417" s="48">
        <v>1</v>
      </c>
      <c r="E417" s="34"/>
      <c r="F417" s="34"/>
      <c r="G417" s="34"/>
      <c r="H417" s="34"/>
      <c r="I417" s="35"/>
      <c r="J417" s="36"/>
      <c r="K417" s="103"/>
      <c r="L417" s="52" t="s">
        <v>20</v>
      </c>
    </row>
    <row r="418" spans="1:12" x14ac:dyDescent="0.25">
      <c r="A418" s="166">
        <f>190+1+13</f>
        <v>204</v>
      </c>
      <c r="B418" s="95" t="s">
        <v>89</v>
      </c>
      <c r="C418" s="96"/>
      <c r="D418" s="97"/>
      <c r="E418" s="98"/>
      <c r="F418" s="98"/>
      <c r="G418" s="98"/>
      <c r="H418" s="98"/>
      <c r="I418" s="98"/>
      <c r="J418" s="99"/>
      <c r="K418" s="100"/>
      <c r="L418" s="52" t="s">
        <v>20</v>
      </c>
    </row>
    <row r="421" spans="1:12" ht="15.75" x14ac:dyDescent="0.25">
      <c r="A421" s="131"/>
      <c r="B421" s="58" t="s">
        <v>38</v>
      </c>
      <c r="K421" s="104"/>
    </row>
    <row r="422" spans="1:12" ht="15.75" x14ac:dyDescent="0.25">
      <c r="A422" s="132" t="s">
        <v>39</v>
      </c>
      <c r="B422" s="59" t="s">
        <v>40</v>
      </c>
      <c r="K422" s="104"/>
    </row>
    <row r="423" spans="1:12" ht="15.75" x14ac:dyDescent="0.25">
      <c r="A423" s="132" t="s">
        <v>41</v>
      </c>
      <c r="B423" s="59" t="s">
        <v>42</v>
      </c>
      <c r="K423" s="104"/>
    </row>
    <row r="424" spans="1:12" x14ac:dyDescent="0.25">
      <c r="A424" s="131"/>
      <c r="K424" s="105"/>
    </row>
    <row r="425" spans="1:12" ht="15.75" x14ac:dyDescent="0.25">
      <c r="A425" s="131"/>
      <c r="G425" s="60"/>
      <c r="H425" s="61" t="s">
        <v>43</v>
      </c>
      <c r="I425" s="62"/>
      <c r="J425" s="63" t="s">
        <v>44</v>
      </c>
      <c r="K425" s="106"/>
      <c r="L425" s="60"/>
    </row>
    <row r="426" spans="1:12" ht="15.75" x14ac:dyDescent="0.25">
      <c r="A426" s="133"/>
      <c r="G426" s="60"/>
      <c r="H426" s="61"/>
      <c r="J426" s="63"/>
      <c r="K426" s="106"/>
      <c r="L426" s="60"/>
    </row>
    <row r="427" spans="1:12" ht="15.75" x14ac:dyDescent="0.25">
      <c r="A427" s="131"/>
      <c r="H427" s="61" t="s">
        <v>45</v>
      </c>
      <c r="I427" s="62"/>
      <c r="J427" s="63" t="s">
        <v>46</v>
      </c>
      <c r="K427" s="105"/>
    </row>
  </sheetData>
  <autoFilter ref="A11:M418"/>
  <mergeCells count="635">
    <mergeCell ref="C118:C121"/>
    <mergeCell ref="D118:D121"/>
    <mergeCell ref="A6:L6"/>
    <mergeCell ref="B77:B78"/>
    <mergeCell ref="C77:C78"/>
    <mergeCell ref="D77:D78"/>
    <mergeCell ref="E77:E78"/>
    <mergeCell ref="F77:F78"/>
    <mergeCell ref="G77:G78"/>
    <mergeCell ref="H77:H78"/>
    <mergeCell ref="F23:F31"/>
    <mergeCell ref="G23:G31"/>
    <mergeCell ref="A77:A78"/>
    <mergeCell ref="A7:L7"/>
    <mergeCell ref="A8:L8"/>
    <mergeCell ref="A10:A11"/>
    <mergeCell ref="I10:L10"/>
    <mergeCell ref="B34:B36"/>
    <mergeCell ref="C34:C36"/>
    <mergeCell ref="D34:D36"/>
    <mergeCell ref="A34:A36"/>
    <mergeCell ref="A23:A31"/>
    <mergeCell ref="B23:B31"/>
    <mergeCell ref="C23:C31"/>
    <mergeCell ref="B10:B11"/>
    <mergeCell ref="C10:C11"/>
    <mergeCell ref="D10:D11"/>
    <mergeCell ref="E10:H10"/>
    <mergeCell ref="F63:F64"/>
    <mergeCell ref="G63:G64"/>
    <mergeCell ref="H63:H64"/>
    <mergeCell ref="B65:B66"/>
    <mergeCell ref="C65:C66"/>
    <mergeCell ref="D65:D66"/>
    <mergeCell ref="D23:D31"/>
    <mergeCell ref="E23:E31"/>
    <mergeCell ref="C13:C21"/>
    <mergeCell ref="D13:D21"/>
    <mergeCell ref="E42:E43"/>
    <mergeCell ref="F42:F43"/>
    <mergeCell ref="G42:G43"/>
    <mergeCell ref="H42:H43"/>
    <mergeCell ref="B44:B45"/>
    <mergeCell ref="D44:D45"/>
    <mergeCell ref="C44:C45"/>
    <mergeCell ref="E63:E64"/>
    <mergeCell ref="C39:C40"/>
    <mergeCell ref="D39:D40"/>
    <mergeCell ref="B50:B51"/>
    <mergeCell ref="C50:C51"/>
    <mergeCell ref="D50:D51"/>
    <mergeCell ref="B71:B72"/>
    <mergeCell ref="C71:C72"/>
    <mergeCell ref="D71:D72"/>
    <mergeCell ref="B52:B53"/>
    <mergeCell ref="C52:C53"/>
    <mergeCell ref="D52:D53"/>
    <mergeCell ref="B56:B58"/>
    <mergeCell ref="C56:C58"/>
    <mergeCell ref="D56:D58"/>
    <mergeCell ref="B61:B62"/>
    <mergeCell ref="B68:B70"/>
    <mergeCell ref="C68:C70"/>
    <mergeCell ref="D68:D70"/>
    <mergeCell ref="F83:F84"/>
    <mergeCell ref="E95:E99"/>
    <mergeCell ref="F95:F99"/>
    <mergeCell ref="A88:A90"/>
    <mergeCell ref="B88:B90"/>
    <mergeCell ref="C88:C90"/>
    <mergeCell ref="D88:D90"/>
    <mergeCell ref="G83:G84"/>
    <mergeCell ref="H83:H84"/>
    <mergeCell ref="B85:B86"/>
    <mergeCell ref="C85:C86"/>
    <mergeCell ref="D85:D86"/>
    <mergeCell ref="A83:A84"/>
    <mergeCell ref="B83:B84"/>
    <mergeCell ref="C83:C84"/>
    <mergeCell ref="D83:D84"/>
    <mergeCell ref="E83:E84"/>
    <mergeCell ref="C114:C115"/>
    <mergeCell ref="D114:D115"/>
    <mergeCell ref="B108:B109"/>
    <mergeCell ref="D108:D109"/>
    <mergeCell ref="B106:B107"/>
    <mergeCell ref="C106:C107"/>
    <mergeCell ref="D106:D107"/>
    <mergeCell ref="G95:G99"/>
    <mergeCell ref="H95:H99"/>
    <mergeCell ref="B104:B105"/>
    <mergeCell ref="C104:C105"/>
    <mergeCell ref="D104:D105"/>
    <mergeCell ref="E104:E105"/>
    <mergeCell ref="F104:F105"/>
    <mergeCell ref="G104:G105"/>
    <mergeCell ref="H104:H105"/>
    <mergeCell ref="B95:B99"/>
    <mergeCell ref="C95:C99"/>
    <mergeCell ref="D95:D99"/>
    <mergeCell ref="G144:G147"/>
    <mergeCell ref="H144:H147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B160:B161"/>
    <mergeCell ref="C160:C161"/>
    <mergeCell ref="D160:D161"/>
    <mergeCell ref="A144:A147"/>
    <mergeCell ref="B144:B147"/>
    <mergeCell ref="C144:C147"/>
    <mergeCell ref="D144:D147"/>
    <mergeCell ref="E144:E147"/>
    <mergeCell ref="F144:F147"/>
    <mergeCell ref="A160:A161"/>
    <mergeCell ref="A154:A155"/>
    <mergeCell ref="B154:B155"/>
    <mergeCell ref="C154:C155"/>
    <mergeCell ref="D154:D155"/>
    <mergeCell ref="B164:B166"/>
    <mergeCell ref="C164:C166"/>
    <mergeCell ref="D164:D166"/>
    <mergeCell ref="E164:E166"/>
    <mergeCell ref="F164:F166"/>
    <mergeCell ref="G164:G166"/>
    <mergeCell ref="H164:H166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A164:A166"/>
    <mergeCell ref="B169:B170"/>
    <mergeCell ref="A169:A170"/>
    <mergeCell ref="C169:C170"/>
    <mergeCell ref="D169:D170"/>
    <mergeCell ref="A179:A180"/>
    <mergeCell ref="B179:B180"/>
    <mergeCell ref="C179:C180"/>
    <mergeCell ref="D179:D180"/>
    <mergeCell ref="B177:B178"/>
    <mergeCell ref="D177:D178"/>
    <mergeCell ref="A177:A178"/>
    <mergeCell ref="B173:B175"/>
    <mergeCell ref="A173:A175"/>
    <mergeCell ref="C173:C175"/>
    <mergeCell ref="D173:D175"/>
    <mergeCell ref="B183:B184"/>
    <mergeCell ref="C183:C184"/>
    <mergeCell ref="D183:D184"/>
    <mergeCell ref="E183:E184"/>
    <mergeCell ref="F183:F184"/>
    <mergeCell ref="G183:G184"/>
    <mergeCell ref="H183:H184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A183:A184"/>
    <mergeCell ref="B187:B188"/>
    <mergeCell ref="A187:A188"/>
    <mergeCell ref="C187:C188"/>
    <mergeCell ref="D187:D188"/>
    <mergeCell ref="B195:B196"/>
    <mergeCell ref="D195:D196"/>
    <mergeCell ref="A197:A198"/>
    <mergeCell ref="B197:B198"/>
    <mergeCell ref="C197:C198"/>
    <mergeCell ref="D197:D198"/>
    <mergeCell ref="A195:A196"/>
    <mergeCell ref="B191:B193"/>
    <mergeCell ref="A191:A193"/>
    <mergeCell ref="C191:C193"/>
    <mergeCell ref="D191:D193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B205:B206"/>
    <mergeCell ref="A205:A206"/>
    <mergeCell ref="C205:C206"/>
    <mergeCell ref="D205:D206"/>
    <mergeCell ref="B209:B210"/>
    <mergeCell ref="C209:C210"/>
    <mergeCell ref="D209:D210"/>
    <mergeCell ref="A221:A222"/>
    <mergeCell ref="B221:B222"/>
    <mergeCell ref="C221:C222"/>
    <mergeCell ref="D221:D222"/>
    <mergeCell ref="E221:E222"/>
    <mergeCell ref="F221:F222"/>
    <mergeCell ref="A209:A210"/>
    <mergeCell ref="A215:A216"/>
    <mergeCell ref="B215:B216"/>
    <mergeCell ref="D215:D216"/>
    <mergeCell ref="A217:A218"/>
    <mergeCell ref="B217:B218"/>
    <mergeCell ref="C217:C218"/>
    <mergeCell ref="D217:D218"/>
    <mergeCell ref="B211:B213"/>
    <mergeCell ref="A211:A213"/>
    <mergeCell ref="C211:C213"/>
    <mergeCell ref="D211:D213"/>
    <mergeCell ref="H221:H222"/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B235:B236"/>
    <mergeCell ref="D235:D236"/>
    <mergeCell ref="A237:A238"/>
    <mergeCell ref="B237:B238"/>
    <mergeCell ref="C237:C238"/>
    <mergeCell ref="D237:D238"/>
    <mergeCell ref="A229:A230"/>
    <mergeCell ref="A235:A236"/>
    <mergeCell ref="G221:G222"/>
    <mergeCell ref="B225:B226"/>
    <mergeCell ref="A225:A226"/>
    <mergeCell ref="C225:C226"/>
    <mergeCell ref="D225:D226"/>
    <mergeCell ref="B231:B233"/>
    <mergeCell ref="A231:A233"/>
    <mergeCell ref="C231:C233"/>
    <mergeCell ref="D231:D233"/>
    <mergeCell ref="B229:B230"/>
    <mergeCell ref="C229:C230"/>
    <mergeCell ref="D229:D230"/>
    <mergeCell ref="A241:A242"/>
    <mergeCell ref="B241:B242"/>
    <mergeCell ref="C241:C242"/>
    <mergeCell ref="D241:D242"/>
    <mergeCell ref="E241:E242"/>
    <mergeCell ref="F241:F242"/>
    <mergeCell ref="G241:G242"/>
    <mergeCell ref="H241:H242"/>
    <mergeCell ref="A246:A247"/>
    <mergeCell ref="B246:B247"/>
    <mergeCell ref="C246:C247"/>
    <mergeCell ref="D246:D247"/>
    <mergeCell ref="E246:E247"/>
    <mergeCell ref="F246:F247"/>
    <mergeCell ref="G246:G247"/>
    <mergeCell ref="H246:H247"/>
    <mergeCell ref="B244:B245"/>
    <mergeCell ref="A244:A245"/>
    <mergeCell ref="C244:C245"/>
    <mergeCell ref="D244:D245"/>
    <mergeCell ref="B252:B253"/>
    <mergeCell ref="D252:D253"/>
    <mergeCell ref="A254:A255"/>
    <mergeCell ref="B254:B255"/>
    <mergeCell ref="C254:C255"/>
    <mergeCell ref="D254:D255"/>
    <mergeCell ref="A252:A253"/>
    <mergeCell ref="B248:B250"/>
    <mergeCell ref="A248:A250"/>
    <mergeCell ref="C248:C250"/>
    <mergeCell ref="D248:D250"/>
    <mergeCell ref="A258:A260"/>
    <mergeCell ref="B258:B260"/>
    <mergeCell ref="C258:C260"/>
    <mergeCell ref="D258:D260"/>
    <mergeCell ref="E258:E260"/>
    <mergeCell ref="F258:F260"/>
    <mergeCell ref="G258:G260"/>
    <mergeCell ref="H258:H260"/>
    <mergeCell ref="A265:A266"/>
    <mergeCell ref="B265:B266"/>
    <mergeCell ref="C265:C266"/>
    <mergeCell ref="D265:D266"/>
    <mergeCell ref="E265:E266"/>
    <mergeCell ref="F265:F266"/>
    <mergeCell ref="G265:G266"/>
    <mergeCell ref="H265:H266"/>
    <mergeCell ref="B263:B264"/>
    <mergeCell ref="A263:A264"/>
    <mergeCell ref="C263:C264"/>
    <mergeCell ref="D263:D264"/>
    <mergeCell ref="B267:B268"/>
    <mergeCell ref="C267:C268"/>
    <mergeCell ref="D267:D268"/>
    <mergeCell ref="B273:B274"/>
    <mergeCell ref="D273:D274"/>
    <mergeCell ref="A275:A276"/>
    <mergeCell ref="B275:B276"/>
    <mergeCell ref="C275:C276"/>
    <mergeCell ref="D275:D276"/>
    <mergeCell ref="A267:A268"/>
    <mergeCell ref="A273:A274"/>
    <mergeCell ref="B269:B271"/>
    <mergeCell ref="A269:A271"/>
    <mergeCell ref="C269:C271"/>
    <mergeCell ref="D269:D271"/>
    <mergeCell ref="A279:A282"/>
    <mergeCell ref="B279:B282"/>
    <mergeCell ref="C279:C282"/>
    <mergeCell ref="D279:D282"/>
    <mergeCell ref="E279:E282"/>
    <mergeCell ref="F279:F282"/>
    <mergeCell ref="G279:G282"/>
    <mergeCell ref="H279:H282"/>
    <mergeCell ref="A287:A288"/>
    <mergeCell ref="B287:B288"/>
    <mergeCell ref="C287:C288"/>
    <mergeCell ref="D287:D288"/>
    <mergeCell ref="E287:E288"/>
    <mergeCell ref="F287:F288"/>
    <mergeCell ref="G287:G288"/>
    <mergeCell ref="H287:H288"/>
    <mergeCell ref="B285:B286"/>
    <mergeCell ref="A285:A286"/>
    <mergeCell ref="C285:C286"/>
    <mergeCell ref="D285:D286"/>
    <mergeCell ref="B289:B290"/>
    <mergeCell ref="C289:C290"/>
    <mergeCell ref="D289:D290"/>
    <mergeCell ref="B295:B296"/>
    <mergeCell ref="D295:D296"/>
    <mergeCell ref="A297:A298"/>
    <mergeCell ref="B297:B298"/>
    <mergeCell ref="C297:C298"/>
    <mergeCell ref="D297:D298"/>
    <mergeCell ref="A289:A290"/>
    <mergeCell ref="A295:A296"/>
    <mergeCell ref="B291:B293"/>
    <mergeCell ref="A291:A293"/>
    <mergeCell ref="C291:C293"/>
    <mergeCell ref="D291:D293"/>
    <mergeCell ref="E301:E302"/>
    <mergeCell ref="F301:F302"/>
    <mergeCell ref="G301:G302"/>
    <mergeCell ref="H301:H302"/>
    <mergeCell ref="A307:A308"/>
    <mergeCell ref="B307:B308"/>
    <mergeCell ref="C307:C308"/>
    <mergeCell ref="D307:D308"/>
    <mergeCell ref="E307:E308"/>
    <mergeCell ref="F307:F308"/>
    <mergeCell ref="G307:G308"/>
    <mergeCell ref="H307:H308"/>
    <mergeCell ref="B309:B310"/>
    <mergeCell ref="C309:C310"/>
    <mergeCell ref="D309:D310"/>
    <mergeCell ref="A312:A313"/>
    <mergeCell ref="B312:B313"/>
    <mergeCell ref="C312:C313"/>
    <mergeCell ref="D312:D313"/>
    <mergeCell ref="A309:A310"/>
    <mergeCell ref="A301:A302"/>
    <mergeCell ref="B301:B302"/>
    <mergeCell ref="C301:C302"/>
    <mergeCell ref="D301:D302"/>
    <mergeCell ref="B305:B306"/>
    <mergeCell ref="A305:A306"/>
    <mergeCell ref="C305:C306"/>
    <mergeCell ref="D305:D306"/>
    <mergeCell ref="A316:A317"/>
    <mergeCell ref="B316:B317"/>
    <mergeCell ref="C316:C317"/>
    <mergeCell ref="D316:D317"/>
    <mergeCell ref="E316:E317"/>
    <mergeCell ref="F316:F317"/>
    <mergeCell ref="G316:G317"/>
    <mergeCell ref="H316:H317"/>
    <mergeCell ref="A322:A323"/>
    <mergeCell ref="B322:B323"/>
    <mergeCell ref="C322:C323"/>
    <mergeCell ref="D322:D323"/>
    <mergeCell ref="E322:E323"/>
    <mergeCell ref="F322:F323"/>
    <mergeCell ref="G322:G323"/>
    <mergeCell ref="H322:H323"/>
    <mergeCell ref="B320:B321"/>
    <mergeCell ref="C320:C321"/>
    <mergeCell ref="D320:D321"/>
    <mergeCell ref="A320:A321"/>
    <mergeCell ref="B324:B325"/>
    <mergeCell ref="C324:C325"/>
    <mergeCell ref="D324:D325"/>
    <mergeCell ref="B330:B331"/>
    <mergeCell ref="D330:D331"/>
    <mergeCell ref="A332:A333"/>
    <mergeCell ref="B332:B333"/>
    <mergeCell ref="C332:C333"/>
    <mergeCell ref="D332:D333"/>
    <mergeCell ref="A324:A325"/>
    <mergeCell ref="A330:A331"/>
    <mergeCell ref="C330:C331"/>
    <mergeCell ref="B326:B328"/>
    <mergeCell ref="A326:A328"/>
    <mergeCell ref="C326:C328"/>
    <mergeCell ref="D326:D328"/>
    <mergeCell ref="A336:A337"/>
    <mergeCell ref="B336:B337"/>
    <mergeCell ref="C336:C337"/>
    <mergeCell ref="D336:D337"/>
    <mergeCell ref="E336:E337"/>
    <mergeCell ref="F336:F337"/>
    <mergeCell ref="G336:G337"/>
    <mergeCell ref="H336:H337"/>
    <mergeCell ref="A342:A343"/>
    <mergeCell ref="B342:B343"/>
    <mergeCell ref="C342:C343"/>
    <mergeCell ref="D342:D343"/>
    <mergeCell ref="E342:E343"/>
    <mergeCell ref="F342:F343"/>
    <mergeCell ref="G342:G343"/>
    <mergeCell ref="H342:H343"/>
    <mergeCell ref="B340:B341"/>
    <mergeCell ref="A340:A341"/>
    <mergeCell ref="C340:C341"/>
    <mergeCell ref="D340:D341"/>
    <mergeCell ref="B344:B345"/>
    <mergeCell ref="C344:C345"/>
    <mergeCell ref="D344:D345"/>
    <mergeCell ref="B350:B351"/>
    <mergeCell ref="D350:D351"/>
    <mergeCell ref="A352:A353"/>
    <mergeCell ref="B352:B353"/>
    <mergeCell ref="C352:C353"/>
    <mergeCell ref="D352:D353"/>
    <mergeCell ref="A344:A345"/>
    <mergeCell ref="A350:A351"/>
    <mergeCell ref="C350:C351"/>
    <mergeCell ref="B346:B348"/>
    <mergeCell ref="A346:A348"/>
    <mergeCell ref="C346:C348"/>
    <mergeCell ref="D346:D348"/>
    <mergeCell ref="A356:A357"/>
    <mergeCell ref="B356:B357"/>
    <mergeCell ref="C356:C357"/>
    <mergeCell ref="D356:D357"/>
    <mergeCell ref="E356:E357"/>
    <mergeCell ref="F356:F357"/>
    <mergeCell ref="G356:G357"/>
    <mergeCell ref="H356:H357"/>
    <mergeCell ref="A362:A363"/>
    <mergeCell ref="B362:B363"/>
    <mergeCell ref="C362:C363"/>
    <mergeCell ref="D362:D363"/>
    <mergeCell ref="E362:E363"/>
    <mergeCell ref="F362:F363"/>
    <mergeCell ref="G362:G363"/>
    <mergeCell ref="H362:H363"/>
    <mergeCell ref="B360:B361"/>
    <mergeCell ref="A360:A361"/>
    <mergeCell ref="C360:C361"/>
    <mergeCell ref="D360:D361"/>
    <mergeCell ref="B364:B365"/>
    <mergeCell ref="C364:C365"/>
    <mergeCell ref="D364:D365"/>
    <mergeCell ref="B370:B371"/>
    <mergeCell ref="D370:D371"/>
    <mergeCell ref="A372:A373"/>
    <mergeCell ref="B372:B373"/>
    <mergeCell ref="C372:C373"/>
    <mergeCell ref="D372:D373"/>
    <mergeCell ref="A364:A365"/>
    <mergeCell ref="A370:A371"/>
    <mergeCell ref="C370:C371"/>
    <mergeCell ref="B366:B368"/>
    <mergeCell ref="A366:A368"/>
    <mergeCell ref="C366:C368"/>
    <mergeCell ref="D366:D368"/>
    <mergeCell ref="E376:E378"/>
    <mergeCell ref="F376:F378"/>
    <mergeCell ref="G376:G378"/>
    <mergeCell ref="H376:H378"/>
    <mergeCell ref="A383:A384"/>
    <mergeCell ref="B383:B384"/>
    <mergeCell ref="C383:C384"/>
    <mergeCell ref="D383:D384"/>
    <mergeCell ref="E383:E384"/>
    <mergeCell ref="F383:F384"/>
    <mergeCell ref="G383:G384"/>
    <mergeCell ref="H383:H384"/>
    <mergeCell ref="D376:D378"/>
    <mergeCell ref="B381:B382"/>
    <mergeCell ref="A381:A382"/>
    <mergeCell ref="C381:C382"/>
    <mergeCell ref="D381:D382"/>
    <mergeCell ref="B387:B389"/>
    <mergeCell ref="A387:A389"/>
    <mergeCell ref="C387:C389"/>
    <mergeCell ref="D387:D389"/>
    <mergeCell ref="A73:A74"/>
    <mergeCell ref="A52:A53"/>
    <mergeCell ref="A56:A58"/>
    <mergeCell ref="A13:A21"/>
    <mergeCell ref="B13:B21"/>
    <mergeCell ref="A118:A121"/>
    <mergeCell ref="A122:A123"/>
    <mergeCell ref="A50:A51"/>
    <mergeCell ref="A65:A66"/>
    <mergeCell ref="A71:A72"/>
    <mergeCell ref="A85:A86"/>
    <mergeCell ref="A106:A107"/>
    <mergeCell ref="A108:A109"/>
    <mergeCell ref="B91:B92"/>
    <mergeCell ref="B73:B74"/>
    <mergeCell ref="A44:A45"/>
    <mergeCell ref="B39:B40"/>
    <mergeCell ref="A104:A105"/>
    <mergeCell ref="A95:A99"/>
    <mergeCell ref="B118:B121"/>
    <mergeCell ref="B122:B123"/>
    <mergeCell ref="D122:D123"/>
    <mergeCell ref="B114:B115"/>
    <mergeCell ref="A398:A399"/>
    <mergeCell ref="B398:B399"/>
    <mergeCell ref="C398:C399"/>
    <mergeCell ref="D398:D399"/>
    <mergeCell ref="A128:A129"/>
    <mergeCell ref="A114:A115"/>
    <mergeCell ref="B385:B386"/>
    <mergeCell ref="C385:C386"/>
    <mergeCell ref="D385:D386"/>
    <mergeCell ref="B391:B392"/>
    <mergeCell ref="D391:D392"/>
    <mergeCell ref="A393:A394"/>
    <mergeCell ref="B393:B394"/>
    <mergeCell ref="C393:C394"/>
    <mergeCell ref="D393:D394"/>
    <mergeCell ref="A385:A386"/>
    <mergeCell ref="A391:A392"/>
    <mergeCell ref="C391:C392"/>
    <mergeCell ref="A376:A378"/>
    <mergeCell ref="B376:B378"/>
    <mergeCell ref="C376:C378"/>
    <mergeCell ref="E398:E399"/>
    <mergeCell ref="F398:F399"/>
    <mergeCell ref="G398:G399"/>
    <mergeCell ref="H398:H399"/>
    <mergeCell ref="A403:A404"/>
    <mergeCell ref="B403:B404"/>
    <mergeCell ref="C403:C404"/>
    <mergeCell ref="D403:D404"/>
    <mergeCell ref="E403:E404"/>
    <mergeCell ref="F403:F404"/>
    <mergeCell ref="G403:G404"/>
    <mergeCell ref="H403:H404"/>
    <mergeCell ref="B401:B402"/>
    <mergeCell ref="A401:A402"/>
    <mergeCell ref="C401:C402"/>
    <mergeCell ref="D401:D402"/>
    <mergeCell ref="A411:A412"/>
    <mergeCell ref="B411:B412"/>
    <mergeCell ref="C411:C412"/>
    <mergeCell ref="D411:D412"/>
    <mergeCell ref="A405:A406"/>
    <mergeCell ref="B405:B406"/>
    <mergeCell ref="C405:C406"/>
    <mergeCell ref="D405:D406"/>
    <mergeCell ref="B407:B409"/>
    <mergeCell ref="A407:A409"/>
    <mergeCell ref="C407:C409"/>
    <mergeCell ref="D407:D409"/>
    <mergeCell ref="A39:A40"/>
    <mergeCell ref="B47:B49"/>
    <mergeCell ref="C47:C49"/>
    <mergeCell ref="D47:D49"/>
    <mergeCell ref="A47:A49"/>
    <mergeCell ref="B41:B43"/>
    <mergeCell ref="A41:A43"/>
    <mergeCell ref="C42:C43"/>
    <mergeCell ref="D42:D43"/>
    <mergeCell ref="A63:A64"/>
    <mergeCell ref="B63:B64"/>
    <mergeCell ref="C63:C64"/>
    <mergeCell ref="D63:D64"/>
    <mergeCell ref="A61:A62"/>
    <mergeCell ref="A68:A70"/>
    <mergeCell ref="B81:B82"/>
    <mergeCell ref="A81:A82"/>
    <mergeCell ref="C81:C82"/>
    <mergeCell ref="D81:D82"/>
    <mergeCell ref="C73:C74"/>
    <mergeCell ref="D73:D74"/>
    <mergeCell ref="A102:A103"/>
    <mergeCell ref="B102:B103"/>
    <mergeCell ref="C102:C103"/>
    <mergeCell ref="D102:D103"/>
    <mergeCell ref="B110:B112"/>
    <mergeCell ref="A110:A112"/>
    <mergeCell ref="C110:C112"/>
    <mergeCell ref="D110:D112"/>
    <mergeCell ref="A91:A92"/>
    <mergeCell ref="C91:C92"/>
    <mergeCell ref="D91:D92"/>
    <mergeCell ref="B124:B126"/>
    <mergeCell ref="A124:A126"/>
    <mergeCell ref="C124:C126"/>
    <mergeCell ref="D124:D126"/>
    <mergeCell ref="B150:B151"/>
    <mergeCell ref="A150:A151"/>
    <mergeCell ref="B156:B158"/>
    <mergeCell ref="A156:A158"/>
    <mergeCell ref="C156:C158"/>
    <mergeCell ref="D156:D158"/>
    <mergeCell ref="B128:B129"/>
    <mergeCell ref="C128:C129"/>
    <mergeCell ref="D128:D129"/>
    <mergeCell ref="A130:A141"/>
    <mergeCell ref="B130:B141"/>
    <mergeCell ref="C130:C141"/>
    <mergeCell ref="D130:D141"/>
  </mergeCells>
  <phoneticPr fontId="16" type="noConversion"/>
  <conditionalFormatting sqref="M103:XFD103">
    <cfRule type="expression" dxfId="1" priority="723">
      <formula>1</formula>
    </cfRule>
  </conditionalFormatting>
  <conditionalFormatting sqref="I23:K2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{D0E63400-BA3B-4D34-846A-188916545403}</x14:id>
        </ext>
      </extLst>
    </cfRule>
  </conditionalFormatting>
  <printOptions horizontalCentered="1"/>
  <pageMargins left="0.62992125984251968" right="0.23622047244094491" top="0.55118110236220474" bottom="0.35433070866141736" header="0.31496062992125984" footer="0.31496062992125984"/>
  <pageSetup paperSize="256" fitToHeight="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0E63400-BA3B-4D34-846A-1889165454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I23:K23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49"/>
  <sheetViews>
    <sheetView tabSelected="1" topLeftCell="A436" zoomScaleNormal="100" workbookViewId="0">
      <selection activeCell="A8" sqref="A8:L8"/>
    </sheetView>
  </sheetViews>
  <sheetFormatPr defaultRowHeight="15" x14ac:dyDescent="0.25"/>
  <cols>
    <col min="1" max="1" width="23.28515625" style="134" customWidth="1"/>
    <col min="2" max="2" width="69.140625" style="54" customWidth="1"/>
    <col min="3" max="3" width="7.85546875" style="55" bestFit="1" customWidth="1"/>
    <col min="4" max="4" width="9.85546875" style="56" customWidth="1"/>
    <col min="5" max="5" width="51" customWidth="1"/>
    <col min="6" max="6" width="10.42578125" customWidth="1"/>
    <col min="7" max="7" width="10.5703125" customWidth="1"/>
    <col min="8" max="8" width="32.5703125" customWidth="1"/>
    <col min="9" max="9" width="66.85546875" customWidth="1"/>
    <col min="10" max="10" width="7.7109375" style="53" customWidth="1"/>
    <col min="11" max="11" width="11.140625" style="57" bestFit="1" customWidth="1"/>
    <col min="12" max="12" width="22.140625" bestFit="1" customWidth="1"/>
    <col min="13" max="16384" width="9.140625" style="1"/>
  </cols>
  <sheetData>
    <row r="1" spans="1:12" x14ac:dyDescent="0.25">
      <c r="I1" s="457" t="s">
        <v>159</v>
      </c>
      <c r="J1" s="457"/>
      <c r="K1" s="457"/>
      <c r="L1" s="457"/>
    </row>
    <row r="3" spans="1:12" ht="18.75" x14ac:dyDescent="0.25">
      <c r="A3" s="127"/>
      <c r="B3" s="93" t="s">
        <v>160</v>
      </c>
      <c r="C3" s="6"/>
      <c r="D3" s="7"/>
      <c r="E3" s="8"/>
      <c r="F3" s="9"/>
      <c r="G3" s="9"/>
      <c r="I3" s="93" t="s">
        <v>13</v>
      </c>
      <c r="J3" s="93"/>
      <c r="K3" s="335"/>
      <c r="L3" s="93"/>
    </row>
    <row r="4" spans="1:12" ht="18.75" x14ac:dyDescent="0.25">
      <c r="A4" s="128"/>
      <c r="B4" s="11" t="s">
        <v>161</v>
      </c>
      <c r="C4" s="6"/>
      <c r="D4" s="7"/>
      <c r="E4" s="8"/>
      <c r="F4" s="9"/>
      <c r="G4" s="9"/>
      <c r="I4" s="11" t="s">
        <v>14</v>
      </c>
      <c r="J4" s="12"/>
      <c r="K4" s="13"/>
      <c r="L4" s="11"/>
    </row>
    <row r="5" spans="1:12" s="2" customFormat="1" ht="18.75" x14ac:dyDescent="0.25">
      <c r="A5" s="128"/>
      <c r="B5" s="11" t="s">
        <v>162</v>
      </c>
      <c r="C5" s="15"/>
      <c r="D5" s="7"/>
      <c r="E5" s="8"/>
      <c r="F5" s="9"/>
      <c r="G5" s="9"/>
      <c r="H5"/>
      <c r="I5" s="11" t="s">
        <v>15</v>
      </c>
      <c r="J5" s="12"/>
      <c r="K5" s="13"/>
      <c r="L5" s="11"/>
    </row>
    <row r="6" spans="1:12" s="2" customFormat="1" ht="45" customHeight="1" x14ac:dyDescent="0.25">
      <c r="A6" s="128"/>
      <c r="B6" s="11" t="s">
        <v>87</v>
      </c>
      <c r="C6" s="6"/>
      <c r="D6" s="7"/>
      <c r="E6" s="8"/>
      <c r="F6" s="9"/>
      <c r="G6" s="9"/>
      <c r="H6"/>
      <c r="I6" s="11" t="s">
        <v>87</v>
      </c>
      <c r="J6" s="12"/>
      <c r="K6" s="13"/>
      <c r="L6" s="11"/>
    </row>
    <row r="7" spans="1:12" s="2" customFormat="1" ht="33" customHeight="1" x14ac:dyDescent="0.2">
      <c r="A7" s="388" t="s">
        <v>9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</row>
    <row r="8" spans="1:12" s="2" customFormat="1" ht="18.75" x14ac:dyDescent="0.2">
      <c r="A8" s="388" t="s">
        <v>16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</row>
    <row r="9" spans="1:12" s="2" customFormat="1" ht="18.75" x14ac:dyDescent="0.2">
      <c r="A9" s="388" t="s">
        <v>103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</row>
    <row r="10" spans="1:12" s="3" customFormat="1" ht="18.75" x14ac:dyDescent="0.2">
      <c r="A10" s="184"/>
      <c r="B10" s="177"/>
      <c r="C10" s="177"/>
      <c r="D10" s="177"/>
      <c r="E10" s="177"/>
      <c r="F10" s="177"/>
      <c r="G10" s="177"/>
      <c r="H10" s="177"/>
      <c r="I10" s="177"/>
      <c r="J10" s="177"/>
      <c r="K10" s="7"/>
      <c r="L10" s="177"/>
    </row>
    <row r="11" spans="1:12" s="3" customFormat="1" ht="18.75" x14ac:dyDescent="0.2">
      <c r="A11" s="455" t="s">
        <v>17</v>
      </c>
      <c r="B11" s="456" t="s">
        <v>1</v>
      </c>
      <c r="C11" s="456" t="s">
        <v>4</v>
      </c>
      <c r="D11" s="454" t="s">
        <v>5</v>
      </c>
      <c r="E11" s="456" t="s">
        <v>2</v>
      </c>
      <c r="F11" s="456"/>
      <c r="G11" s="456"/>
      <c r="H11" s="456"/>
      <c r="I11" s="456" t="s">
        <v>3</v>
      </c>
      <c r="J11" s="456"/>
      <c r="K11" s="456"/>
      <c r="L11" s="456"/>
    </row>
    <row r="12" spans="1:12" s="3" customFormat="1" ht="37.5" x14ac:dyDescent="0.2">
      <c r="A12" s="455"/>
      <c r="B12" s="456"/>
      <c r="C12" s="456"/>
      <c r="D12" s="454"/>
      <c r="E12" s="185" t="s">
        <v>6</v>
      </c>
      <c r="F12" s="185" t="s">
        <v>7</v>
      </c>
      <c r="G12" s="185" t="s">
        <v>5</v>
      </c>
      <c r="H12" s="185" t="s">
        <v>18</v>
      </c>
      <c r="I12" s="185" t="s">
        <v>6</v>
      </c>
      <c r="J12" s="185" t="s">
        <v>7</v>
      </c>
      <c r="K12" s="186" t="s">
        <v>5</v>
      </c>
      <c r="L12" s="185" t="s">
        <v>8</v>
      </c>
    </row>
    <row r="13" spans="1:12" s="3" customFormat="1" ht="18.75" x14ac:dyDescent="0.2">
      <c r="A13" s="187"/>
      <c r="B13" s="188" t="s">
        <v>101</v>
      </c>
      <c r="C13" s="189"/>
      <c r="D13" s="190"/>
      <c r="E13" s="191"/>
      <c r="F13" s="191"/>
      <c r="G13" s="191"/>
      <c r="H13" s="191"/>
      <c r="I13" s="191"/>
      <c r="J13" s="189"/>
      <c r="K13" s="192"/>
      <c r="L13" s="191"/>
    </row>
    <row r="14" spans="1:12" s="109" customFormat="1" ht="50.25" customHeight="1" x14ac:dyDescent="0.2">
      <c r="A14" s="411" t="s">
        <v>90</v>
      </c>
      <c r="B14" s="445" t="s">
        <v>91</v>
      </c>
      <c r="C14" s="417" t="s">
        <v>19</v>
      </c>
      <c r="D14" s="446">
        <v>1</v>
      </c>
      <c r="E14" s="193" t="s">
        <v>99</v>
      </c>
      <c r="F14" s="194" t="s">
        <v>19</v>
      </c>
      <c r="G14" s="195">
        <v>2</v>
      </c>
      <c r="H14" s="196" t="s">
        <v>106</v>
      </c>
      <c r="I14" s="193"/>
      <c r="J14" s="194"/>
      <c r="K14" s="195"/>
      <c r="L14" s="197"/>
    </row>
    <row r="15" spans="1:12" s="109" customFormat="1" ht="52.5" customHeight="1" x14ac:dyDescent="0.2">
      <c r="A15" s="412"/>
      <c r="B15" s="415"/>
      <c r="C15" s="418"/>
      <c r="D15" s="448"/>
      <c r="E15" s="198" t="s">
        <v>92</v>
      </c>
      <c r="F15" s="199" t="s">
        <v>19</v>
      </c>
      <c r="G15" s="200">
        <v>4</v>
      </c>
      <c r="H15" s="196" t="s">
        <v>108</v>
      </c>
      <c r="I15" s="198"/>
      <c r="J15" s="199"/>
      <c r="K15" s="200"/>
      <c r="L15" s="197"/>
    </row>
    <row r="16" spans="1:12" s="109" customFormat="1" ht="66" customHeight="1" x14ac:dyDescent="0.2">
      <c r="A16" s="412"/>
      <c r="B16" s="415"/>
      <c r="C16" s="418"/>
      <c r="D16" s="448"/>
      <c r="E16" s="201" t="s">
        <v>93</v>
      </c>
      <c r="F16" s="202" t="s">
        <v>19</v>
      </c>
      <c r="G16" s="203">
        <v>2</v>
      </c>
      <c r="H16" s="196" t="s">
        <v>108</v>
      </c>
      <c r="I16" s="201"/>
      <c r="J16" s="202"/>
      <c r="K16" s="203"/>
      <c r="L16" s="197"/>
    </row>
    <row r="17" spans="1:12" s="109" customFormat="1" ht="35.1" customHeight="1" x14ac:dyDescent="0.2">
      <c r="A17" s="412"/>
      <c r="B17" s="415"/>
      <c r="C17" s="418"/>
      <c r="D17" s="448"/>
      <c r="E17" s="201" t="s">
        <v>107</v>
      </c>
      <c r="F17" s="202" t="s">
        <v>19</v>
      </c>
      <c r="G17" s="204">
        <v>50</v>
      </c>
      <c r="H17" s="196"/>
      <c r="I17" s="201"/>
      <c r="J17" s="202"/>
      <c r="K17" s="204"/>
      <c r="L17" s="197"/>
    </row>
    <row r="18" spans="1:12" s="109" customFormat="1" ht="35.1" customHeight="1" x14ac:dyDescent="0.2">
      <c r="A18" s="412"/>
      <c r="B18" s="415"/>
      <c r="C18" s="418"/>
      <c r="D18" s="448"/>
      <c r="E18" s="201" t="s">
        <v>95</v>
      </c>
      <c r="F18" s="202" t="s">
        <v>19</v>
      </c>
      <c r="G18" s="204">
        <v>1</v>
      </c>
      <c r="H18" s="196" t="s">
        <v>108</v>
      </c>
      <c r="I18" s="201"/>
      <c r="J18" s="202"/>
      <c r="K18" s="204"/>
      <c r="L18" s="197"/>
    </row>
    <row r="19" spans="1:12" s="109" customFormat="1" ht="35.1" customHeight="1" x14ac:dyDescent="0.2">
      <c r="A19" s="412"/>
      <c r="B19" s="415"/>
      <c r="C19" s="418"/>
      <c r="D19" s="448"/>
      <c r="E19" s="201" t="s">
        <v>96</v>
      </c>
      <c r="F19" s="202" t="s">
        <v>19</v>
      </c>
      <c r="G19" s="204">
        <v>1</v>
      </c>
      <c r="H19" s="196" t="s">
        <v>108</v>
      </c>
      <c r="I19" s="201"/>
      <c r="J19" s="202"/>
      <c r="K19" s="204"/>
      <c r="L19" s="197"/>
    </row>
    <row r="20" spans="1:12" s="109" customFormat="1" ht="84.75" customHeight="1" x14ac:dyDescent="0.2">
      <c r="A20" s="412"/>
      <c r="B20" s="415"/>
      <c r="C20" s="418"/>
      <c r="D20" s="448"/>
      <c r="E20" s="201" t="s">
        <v>97</v>
      </c>
      <c r="F20" s="202" t="s">
        <v>19</v>
      </c>
      <c r="G20" s="204">
        <v>1</v>
      </c>
      <c r="H20" s="196"/>
      <c r="I20" s="201"/>
      <c r="J20" s="202"/>
      <c r="K20" s="204"/>
      <c r="L20" s="197"/>
    </row>
    <row r="21" spans="1:12" s="109" customFormat="1" ht="51.75" customHeight="1" x14ac:dyDescent="0.2">
      <c r="A21" s="412"/>
      <c r="B21" s="415"/>
      <c r="C21" s="418"/>
      <c r="D21" s="448"/>
      <c r="E21" s="201" t="s">
        <v>102</v>
      </c>
      <c r="F21" s="202" t="s">
        <v>19</v>
      </c>
      <c r="G21" s="204">
        <v>1</v>
      </c>
      <c r="H21" s="196" t="s">
        <v>108</v>
      </c>
      <c r="I21" s="201"/>
      <c r="J21" s="202"/>
      <c r="K21" s="204"/>
      <c r="L21" s="197"/>
    </row>
    <row r="22" spans="1:12" s="109" customFormat="1" ht="35.1" customHeight="1" x14ac:dyDescent="0.2">
      <c r="A22" s="413"/>
      <c r="B22" s="416"/>
      <c r="C22" s="419"/>
      <c r="D22" s="447"/>
      <c r="E22" s="201" t="s">
        <v>98</v>
      </c>
      <c r="F22" s="202" t="s">
        <v>19</v>
      </c>
      <c r="G22" s="204">
        <v>1</v>
      </c>
      <c r="H22" s="196" t="s">
        <v>108</v>
      </c>
      <c r="I22" s="201"/>
      <c r="J22" s="202"/>
      <c r="K22" s="204"/>
      <c r="L22" s="197"/>
    </row>
    <row r="23" spans="1:12" s="3" customFormat="1" ht="35.1" customHeight="1" x14ac:dyDescent="0.2">
      <c r="A23" s="187"/>
      <c r="B23" s="188" t="s">
        <v>140</v>
      </c>
      <c r="C23" s="189"/>
      <c r="D23" s="190"/>
      <c r="E23" s="189"/>
      <c r="F23" s="189"/>
      <c r="G23" s="189"/>
      <c r="H23" s="189"/>
      <c r="I23" s="189"/>
      <c r="J23" s="189"/>
      <c r="K23" s="205"/>
      <c r="L23" s="189"/>
    </row>
    <row r="24" spans="1:12" s="3" customFormat="1" ht="39.950000000000003" customHeight="1" x14ac:dyDescent="0.3">
      <c r="A24" s="206">
        <f>2+1</f>
        <v>3</v>
      </c>
      <c r="B24" s="207" t="s">
        <v>148</v>
      </c>
      <c r="C24" s="208" t="s">
        <v>19</v>
      </c>
      <c r="D24" s="209">
        <v>1</v>
      </c>
      <c r="E24" s="210"/>
      <c r="F24" s="210"/>
      <c r="G24" s="210"/>
      <c r="H24" s="210"/>
      <c r="I24" s="211"/>
      <c r="J24" s="212"/>
      <c r="K24" s="213"/>
      <c r="L24" s="208" t="s">
        <v>20</v>
      </c>
    </row>
    <row r="25" spans="1:12" s="3" customFormat="1" ht="39.950000000000003" customHeight="1" x14ac:dyDescent="0.3">
      <c r="A25" s="423">
        <f>3+1</f>
        <v>4</v>
      </c>
      <c r="B25" s="445" t="s">
        <v>50</v>
      </c>
      <c r="C25" s="417" t="s">
        <v>0</v>
      </c>
      <c r="D25" s="446">
        <v>2.8</v>
      </c>
      <c r="E25" s="214"/>
      <c r="F25" s="214"/>
      <c r="G25" s="214"/>
      <c r="H25" s="214"/>
      <c r="I25" s="211" t="s">
        <v>51</v>
      </c>
      <c r="J25" s="212" t="s">
        <v>0</v>
      </c>
      <c r="K25" s="213">
        <v>2.8</v>
      </c>
      <c r="L25" s="208" t="s">
        <v>20</v>
      </c>
    </row>
    <row r="26" spans="1:12" s="3" customFormat="1" ht="39.950000000000003" customHeight="1" x14ac:dyDescent="0.3">
      <c r="A26" s="423"/>
      <c r="B26" s="415"/>
      <c r="C26" s="418"/>
      <c r="D26" s="448"/>
      <c r="E26" s="214"/>
      <c r="F26" s="214"/>
      <c r="G26" s="214"/>
      <c r="H26" s="214"/>
      <c r="I26" s="211" t="s">
        <v>56</v>
      </c>
      <c r="J26" s="212" t="s">
        <v>19</v>
      </c>
      <c r="K26" s="213">
        <v>1</v>
      </c>
      <c r="L26" s="208" t="s">
        <v>20</v>
      </c>
    </row>
    <row r="27" spans="1:12" s="3" customFormat="1" ht="39.950000000000003" customHeight="1" x14ac:dyDescent="0.3">
      <c r="A27" s="423"/>
      <c r="B27" s="416"/>
      <c r="C27" s="419"/>
      <c r="D27" s="447"/>
      <c r="E27" s="214"/>
      <c r="F27" s="214"/>
      <c r="G27" s="214"/>
      <c r="H27" s="214"/>
      <c r="I27" s="211" t="s">
        <v>57</v>
      </c>
      <c r="J27" s="212" t="s">
        <v>19</v>
      </c>
      <c r="K27" s="213">
        <v>1</v>
      </c>
      <c r="L27" s="208" t="s">
        <v>20</v>
      </c>
    </row>
    <row r="28" spans="1:12" s="3" customFormat="1" ht="39.950000000000003" customHeight="1" x14ac:dyDescent="0.3">
      <c r="A28" s="206">
        <f>4+1</f>
        <v>5</v>
      </c>
      <c r="B28" s="215" t="s">
        <v>69</v>
      </c>
      <c r="C28" s="216" t="s">
        <v>19</v>
      </c>
      <c r="D28" s="217">
        <v>1</v>
      </c>
      <c r="E28" s="214"/>
      <c r="F28" s="214"/>
      <c r="G28" s="214"/>
      <c r="H28" s="214"/>
      <c r="I28" s="211" t="s">
        <v>70</v>
      </c>
      <c r="J28" s="212" t="s">
        <v>19</v>
      </c>
      <c r="K28" s="213">
        <v>1</v>
      </c>
      <c r="L28" s="208" t="s">
        <v>20</v>
      </c>
    </row>
    <row r="29" spans="1:12" s="3" customFormat="1" ht="39.950000000000003" customHeight="1" x14ac:dyDescent="0.2">
      <c r="A29" s="206">
        <f>5+1</f>
        <v>6</v>
      </c>
      <c r="B29" s="218" t="s">
        <v>21</v>
      </c>
      <c r="C29" s="219" t="s">
        <v>0</v>
      </c>
      <c r="D29" s="220">
        <v>52.9</v>
      </c>
      <c r="E29" s="221"/>
      <c r="F29" s="221"/>
      <c r="G29" s="221"/>
      <c r="H29" s="221"/>
      <c r="I29" s="207" t="s">
        <v>22</v>
      </c>
      <c r="J29" s="212" t="s">
        <v>0</v>
      </c>
      <c r="K29" s="213">
        <v>52.9</v>
      </c>
      <c r="L29" s="208" t="s">
        <v>20</v>
      </c>
    </row>
    <row r="30" spans="1:12" s="3" customFormat="1" ht="39.950000000000003" customHeight="1" x14ac:dyDescent="0.2">
      <c r="A30" s="411">
        <f>6+1</f>
        <v>7</v>
      </c>
      <c r="B30" s="445" t="s">
        <v>23</v>
      </c>
      <c r="C30" s="417" t="s">
        <v>0</v>
      </c>
      <c r="D30" s="420">
        <v>46.2</v>
      </c>
      <c r="E30" s="221"/>
      <c r="F30" s="221"/>
      <c r="G30" s="221"/>
      <c r="H30" s="221"/>
      <c r="I30" s="207" t="s">
        <v>150</v>
      </c>
      <c r="J30" s="212" t="s">
        <v>115</v>
      </c>
      <c r="K30" s="213">
        <v>5</v>
      </c>
      <c r="L30" s="208" t="s">
        <v>20</v>
      </c>
    </row>
    <row r="31" spans="1:12" s="3" customFormat="1" ht="39.950000000000003" customHeight="1" x14ac:dyDescent="0.2">
      <c r="A31" s="413"/>
      <c r="B31" s="416"/>
      <c r="C31" s="419"/>
      <c r="D31" s="422"/>
      <c r="E31" s="222"/>
      <c r="F31" s="222"/>
      <c r="G31" s="222"/>
      <c r="H31" s="222"/>
      <c r="I31" s="207" t="s">
        <v>22</v>
      </c>
      <c r="J31" s="212" t="s">
        <v>0</v>
      </c>
      <c r="K31" s="213">
        <v>46.2</v>
      </c>
      <c r="L31" s="208" t="s">
        <v>20</v>
      </c>
    </row>
    <row r="32" spans="1:12" s="3" customFormat="1" ht="39.950000000000003" customHeight="1" x14ac:dyDescent="0.2">
      <c r="A32" s="449">
        <f>7+1</f>
        <v>8</v>
      </c>
      <c r="B32" s="424" t="s">
        <v>24</v>
      </c>
      <c r="C32" s="435" t="s">
        <v>19</v>
      </c>
      <c r="D32" s="438">
        <v>1</v>
      </c>
      <c r="E32" s="402"/>
      <c r="F32" s="402"/>
      <c r="G32" s="402"/>
      <c r="H32" s="402"/>
      <c r="I32" s="201" t="s">
        <v>127</v>
      </c>
      <c r="J32" s="229" t="s">
        <v>19</v>
      </c>
      <c r="K32" s="213">
        <v>1</v>
      </c>
      <c r="L32" s="208" t="s">
        <v>20</v>
      </c>
    </row>
    <row r="33" spans="1:15" s="3" customFormat="1" ht="39.950000000000003" customHeight="1" x14ac:dyDescent="0.2">
      <c r="A33" s="449"/>
      <c r="B33" s="424"/>
      <c r="C33" s="436"/>
      <c r="D33" s="439"/>
      <c r="E33" s="403"/>
      <c r="F33" s="403"/>
      <c r="G33" s="403"/>
      <c r="H33" s="403"/>
      <c r="I33" s="261" t="s">
        <v>126</v>
      </c>
      <c r="J33" s="229" t="s">
        <v>19</v>
      </c>
      <c r="K33" s="213">
        <v>1</v>
      </c>
      <c r="L33" s="208" t="s">
        <v>20</v>
      </c>
    </row>
    <row r="34" spans="1:15" s="3" customFormat="1" ht="39.950000000000003" customHeight="1" x14ac:dyDescent="0.2">
      <c r="A34" s="449"/>
      <c r="B34" s="424"/>
      <c r="C34" s="437"/>
      <c r="D34" s="440"/>
      <c r="E34" s="404"/>
      <c r="F34" s="404"/>
      <c r="G34" s="404"/>
      <c r="H34" s="404"/>
      <c r="I34" s="261" t="s">
        <v>128</v>
      </c>
      <c r="J34" s="229" t="s">
        <v>19</v>
      </c>
      <c r="K34" s="213">
        <v>2</v>
      </c>
      <c r="L34" s="208" t="s">
        <v>20</v>
      </c>
    </row>
    <row r="35" spans="1:15" s="3" customFormat="1" ht="39.950000000000003" customHeight="1" x14ac:dyDescent="0.2">
      <c r="A35" s="449">
        <f>8+1</f>
        <v>9</v>
      </c>
      <c r="B35" s="424" t="s">
        <v>55</v>
      </c>
      <c r="C35" s="451" t="s">
        <v>19</v>
      </c>
      <c r="D35" s="452">
        <v>1</v>
      </c>
      <c r="E35" s="397"/>
      <c r="F35" s="397"/>
      <c r="G35" s="397"/>
      <c r="H35" s="397"/>
      <c r="I35" s="201" t="s">
        <v>127</v>
      </c>
      <c r="J35" s="229" t="s">
        <v>19</v>
      </c>
      <c r="K35" s="213">
        <v>1</v>
      </c>
      <c r="L35" s="208" t="s">
        <v>20</v>
      </c>
    </row>
    <row r="36" spans="1:15" s="3" customFormat="1" ht="39.950000000000003" customHeight="1" x14ac:dyDescent="0.2">
      <c r="A36" s="449"/>
      <c r="B36" s="424"/>
      <c r="C36" s="451"/>
      <c r="D36" s="452"/>
      <c r="E36" s="398"/>
      <c r="F36" s="398"/>
      <c r="G36" s="398"/>
      <c r="H36" s="398"/>
      <c r="I36" s="261" t="s">
        <v>125</v>
      </c>
      <c r="J36" s="229" t="s">
        <v>19</v>
      </c>
      <c r="K36" s="213">
        <v>1</v>
      </c>
      <c r="L36" s="208" t="s">
        <v>20</v>
      </c>
    </row>
    <row r="37" spans="1:15" s="3" customFormat="1" ht="39.950000000000003" customHeight="1" x14ac:dyDescent="0.2">
      <c r="A37" s="449"/>
      <c r="B37" s="424"/>
      <c r="C37" s="451"/>
      <c r="D37" s="452"/>
      <c r="E37" s="399"/>
      <c r="F37" s="399"/>
      <c r="G37" s="399"/>
      <c r="H37" s="399"/>
      <c r="I37" s="261" t="s">
        <v>128</v>
      </c>
      <c r="J37" s="229" t="s">
        <v>19</v>
      </c>
      <c r="K37" s="213">
        <v>1</v>
      </c>
      <c r="L37" s="208" t="s">
        <v>20</v>
      </c>
    </row>
    <row r="38" spans="1:15" s="3" customFormat="1" ht="39.950000000000003" customHeight="1" x14ac:dyDescent="0.3">
      <c r="A38" s="206">
        <f>9+1</f>
        <v>10</v>
      </c>
      <c r="B38" s="250" t="s">
        <v>141</v>
      </c>
      <c r="C38" s="208" t="s">
        <v>0</v>
      </c>
      <c r="D38" s="264">
        <v>4.5</v>
      </c>
      <c r="E38" s="210"/>
      <c r="F38" s="262"/>
      <c r="G38" s="262"/>
      <c r="H38" s="262"/>
      <c r="I38" s="207" t="s">
        <v>25</v>
      </c>
      <c r="J38" s="212" t="s">
        <v>0</v>
      </c>
      <c r="K38" s="213">
        <v>4.5</v>
      </c>
      <c r="L38" s="208" t="s">
        <v>20</v>
      </c>
    </row>
    <row r="39" spans="1:15" s="3" customFormat="1" ht="39.950000000000003" customHeight="1" x14ac:dyDescent="0.2">
      <c r="A39" s="423">
        <f>10+1</f>
        <v>11</v>
      </c>
      <c r="B39" s="424" t="s">
        <v>143</v>
      </c>
      <c r="C39" s="426" t="s">
        <v>0</v>
      </c>
      <c r="D39" s="427">
        <v>41.8</v>
      </c>
      <c r="E39" s="397"/>
      <c r="F39" s="402"/>
      <c r="G39" s="402"/>
      <c r="H39" s="402"/>
      <c r="I39" s="201" t="s">
        <v>114</v>
      </c>
      <c r="J39" s="229" t="s">
        <v>115</v>
      </c>
      <c r="K39" s="213">
        <v>1</v>
      </c>
      <c r="L39" s="208" t="s">
        <v>20</v>
      </c>
    </row>
    <row r="40" spans="1:15" s="3" customFormat="1" ht="39.950000000000003" customHeight="1" x14ac:dyDescent="0.2">
      <c r="A40" s="423"/>
      <c r="B40" s="425"/>
      <c r="C40" s="426"/>
      <c r="D40" s="427"/>
      <c r="E40" s="398"/>
      <c r="F40" s="403"/>
      <c r="G40" s="403"/>
      <c r="H40" s="403"/>
      <c r="I40" s="207" t="s">
        <v>25</v>
      </c>
      <c r="J40" s="212" t="s">
        <v>0</v>
      </c>
      <c r="K40" s="213">
        <v>41.8</v>
      </c>
      <c r="L40" s="208" t="s">
        <v>20</v>
      </c>
    </row>
    <row r="41" spans="1:15" customFormat="1" ht="39.950000000000003" customHeight="1" x14ac:dyDescent="0.25">
      <c r="A41" s="423"/>
      <c r="B41" s="425"/>
      <c r="C41" s="426"/>
      <c r="D41" s="427"/>
      <c r="E41" s="399"/>
      <c r="F41" s="404"/>
      <c r="G41" s="404"/>
      <c r="H41" s="404"/>
      <c r="I41" s="207" t="s">
        <v>66</v>
      </c>
      <c r="J41" s="212" t="s">
        <v>0</v>
      </c>
      <c r="K41" s="213">
        <v>41.8</v>
      </c>
      <c r="L41" s="208" t="s">
        <v>20</v>
      </c>
    </row>
    <row r="42" spans="1:15" s="3" customFormat="1" ht="39.950000000000003" customHeight="1" x14ac:dyDescent="0.2">
      <c r="A42" s="423">
        <f>12+1</f>
        <v>13</v>
      </c>
      <c r="B42" s="425" t="s">
        <v>61</v>
      </c>
      <c r="C42" s="426" t="s">
        <v>19</v>
      </c>
      <c r="D42" s="427">
        <v>4</v>
      </c>
      <c r="E42" s="400"/>
      <c r="F42" s="400"/>
      <c r="G42" s="400"/>
      <c r="H42" s="400"/>
      <c r="I42" s="207" t="s">
        <v>62</v>
      </c>
      <c r="J42" s="212" t="s">
        <v>19</v>
      </c>
      <c r="K42" s="213">
        <v>4</v>
      </c>
      <c r="L42" s="208" t="s">
        <v>20</v>
      </c>
    </row>
    <row r="43" spans="1:15" s="3" customFormat="1" ht="39.950000000000003" customHeight="1" x14ac:dyDescent="0.2">
      <c r="A43" s="423"/>
      <c r="B43" s="425"/>
      <c r="C43" s="426"/>
      <c r="D43" s="427"/>
      <c r="E43" s="401"/>
      <c r="F43" s="401"/>
      <c r="G43" s="401"/>
      <c r="H43" s="401"/>
      <c r="I43" s="207" t="s">
        <v>63</v>
      </c>
      <c r="J43" s="212" t="s">
        <v>19</v>
      </c>
      <c r="K43" s="213">
        <v>4</v>
      </c>
      <c r="L43" s="208" t="s">
        <v>20</v>
      </c>
      <c r="O43" s="341">
        <f>K43+K65+K85+K109+K129+K160+K178+K195+K217+K237+K254+K276+K298+K317+K340+K362+K385+K408+K428</f>
        <v>140</v>
      </c>
    </row>
    <row r="44" spans="1:15" s="3" customFormat="1" ht="39.950000000000003" customHeight="1" x14ac:dyDescent="0.3">
      <c r="A44" s="187"/>
      <c r="B44" s="253" t="s">
        <v>65</v>
      </c>
      <c r="C44" s="189"/>
      <c r="D44" s="190"/>
      <c r="E44" s="189"/>
      <c r="F44" s="189"/>
      <c r="G44" s="189"/>
      <c r="H44" s="189"/>
      <c r="I44" s="189"/>
      <c r="J44" s="189"/>
      <c r="K44" s="205"/>
      <c r="L44" s="189"/>
    </row>
    <row r="45" spans="1:15" s="3" customFormat="1" ht="39.950000000000003" customHeight="1" x14ac:dyDescent="0.3">
      <c r="A45" s="206">
        <f>13+1</f>
        <v>14</v>
      </c>
      <c r="B45" s="319" t="s">
        <v>148</v>
      </c>
      <c r="C45" s="208" t="s">
        <v>19</v>
      </c>
      <c r="D45" s="209">
        <v>2</v>
      </c>
      <c r="E45" s="210"/>
      <c r="F45" s="210"/>
      <c r="G45" s="210"/>
      <c r="H45" s="210"/>
      <c r="I45" s="211"/>
      <c r="J45" s="212"/>
      <c r="K45" s="213"/>
      <c r="L45" s="208" t="s">
        <v>20</v>
      </c>
    </row>
    <row r="46" spans="1:15" s="3" customFormat="1" ht="39.950000000000003" customHeight="1" x14ac:dyDescent="0.2">
      <c r="A46" s="411">
        <f>14+1</f>
        <v>15</v>
      </c>
      <c r="B46" s="445" t="s">
        <v>50</v>
      </c>
      <c r="C46" s="417" t="s">
        <v>0</v>
      </c>
      <c r="D46" s="446">
        <v>9.1</v>
      </c>
      <c r="E46" s="405"/>
      <c r="F46" s="405"/>
      <c r="G46" s="405"/>
      <c r="H46" s="405"/>
      <c r="I46" s="211" t="s">
        <v>51</v>
      </c>
      <c r="J46" s="212" t="s">
        <v>0</v>
      </c>
      <c r="K46" s="213">
        <v>9.1</v>
      </c>
      <c r="L46" s="208" t="s">
        <v>20</v>
      </c>
    </row>
    <row r="47" spans="1:15" s="3" customFormat="1" ht="39.950000000000003" customHeight="1" x14ac:dyDescent="0.2">
      <c r="A47" s="412"/>
      <c r="B47" s="415"/>
      <c r="C47" s="418"/>
      <c r="D47" s="448"/>
      <c r="E47" s="406"/>
      <c r="F47" s="406"/>
      <c r="G47" s="406"/>
      <c r="H47" s="406"/>
      <c r="I47" s="211" t="s">
        <v>116</v>
      </c>
      <c r="J47" s="212" t="s">
        <v>19</v>
      </c>
      <c r="K47" s="213">
        <v>2</v>
      </c>
      <c r="L47" s="208" t="s">
        <v>20</v>
      </c>
    </row>
    <row r="48" spans="1:15" s="3" customFormat="1" ht="39.950000000000003" customHeight="1" x14ac:dyDescent="0.2">
      <c r="A48" s="412"/>
      <c r="B48" s="415"/>
      <c r="C48" s="418"/>
      <c r="D48" s="448"/>
      <c r="E48" s="406"/>
      <c r="F48" s="406"/>
      <c r="G48" s="406"/>
      <c r="H48" s="406"/>
      <c r="I48" s="211" t="s">
        <v>117</v>
      </c>
      <c r="J48" s="212" t="s">
        <v>19</v>
      </c>
      <c r="K48" s="213">
        <v>2</v>
      </c>
      <c r="L48" s="208" t="s">
        <v>20</v>
      </c>
    </row>
    <row r="49" spans="1:12" s="3" customFormat="1" ht="39.950000000000003" customHeight="1" x14ac:dyDescent="0.2">
      <c r="A49" s="412"/>
      <c r="B49" s="415"/>
      <c r="C49" s="418"/>
      <c r="D49" s="448"/>
      <c r="E49" s="407"/>
      <c r="F49" s="407"/>
      <c r="G49" s="407"/>
      <c r="H49" s="407"/>
      <c r="I49" s="211" t="s">
        <v>57</v>
      </c>
      <c r="J49" s="212" t="s">
        <v>19</v>
      </c>
      <c r="K49" s="213">
        <v>2</v>
      </c>
      <c r="L49" s="208" t="s">
        <v>20</v>
      </c>
    </row>
    <row r="50" spans="1:12" s="3" customFormat="1" ht="39.950000000000003" customHeight="1" x14ac:dyDescent="0.3">
      <c r="A50" s="304">
        <f>15+1</f>
        <v>16</v>
      </c>
      <c r="B50" s="303" t="s">
        <v>69</v>
      </c>
      <c r="C50" s="208" t="s">
        <v>19</v>
      </c>
      <c r="D50" s="209">
        <v>2</v>
      </c>
      <c r="E50" s="302"/>
      <c r="F50" s="302"/>
      <c r="G50" s="302"/>
      <c r="H50" s="302"/>
      <c r="I50" s="305" t="s">
        <v>70</v>
      </c>
      <c r="J50" s="243" t="s">
        <v>19</v>
      </c>
      <c r="K50" s="244">
        <v>2</v>
      </c>
      <c r="L50" s="208" t="s">
        <v>20</v>
      </c>
    </row>
    <row r="51" spans="1:12" s="3" customFormat="1" ht="39.950000000000003" customHeight="1" x14ac:dyDescent="0.2">
      <c r="A51" s="245">
        <f>16+1</f>
        <v>17</v>
      </c>
      <c r="B51" s="218" t="s">
        <v>21</v>
      </c>
      <c r="C51" s="219" t="s">
        <v>0</v>
      </c>
      <c r="D51" s="220">
        <v>84.7</v>
      </c>
      <c r="E51" s="221"/>
      <c r="F51" s="221"/>
      <c r="G51" s="221"/>
      <c r="H51" s="221"/>
      <c r="I51" s="207" t="s">
        <v>22</v>
      </c>
      <c r="J51" s="212" t="s">
        <v>0</v>
      </c>
      <c r="K51" s="213">
        <v>84.7</v>
      </c>
      <c r="L51" s="208" t="s">
        <v>20</v>
      </c>
    </row>
    <row r="52" spans="1:12" s="3" customFormat="1" ht="39.950000000000003" customHeight="1" x14ac:dyDescent="0.2">
      <c r="A52" s="411">
        <f>17+1</f>
        <v>18</v>
      </c>
      <c r="B52" s="445" t="s">
        <v>23</v>
      </c>
      <c r="C52" s="417" t="s">
        <v>0</v>
      </c>
      <c r="D52" s="420">
        <v>95</v>
      </c>
      <c r="E52" s="400"/>
      <c r="F52" s="400"/>
      <c r="G52" s="400"/>
      <c r="H52" s="400"/>
      <c r="I52" s="207" t="s">
        <v>151</v>
      </c>
      <c r="J52" s="212" t="s">
        <v>115</v>
      </c>
      <c r="K52" s="213">
        <v>10</v>
      </c>
      <c r="L52" s="208" t="s">
        <v>20</v>
      </c>
    </row>
    <row r="53" spans="1:12" s="3" customFormat="1" ht="39.950000000000003" customHeight="1" x14ac:dyDescent="0.2">
      <c r="A53" s="413"/>
      <c r="B53" s="416"/>
      <c r="C53" s="419"/>
      <c r="D53" s="422"/>
      <c r="E53" s="401"/>
      <c r="F53" s="401"/>
      <c r="G53" s="401"/>
      <c r="H53" s="401"/>
      <c r="I53" s="207" t="s">
        <v>22</v>
      </c>
      <c r="J53" s="212" t="s">
        <v>0</v>
      </c>
      <c r="K53" s="213">
        <v>95</v>
      </c>
      <c r="L53" s="208" t="s">
        <v>20</v>
      </c>
    </row>
    <row r="54" spans="1:12" s="3" customFormat="1" ht="39.950000000000003" customHeight="1" x14ac:dyDescent="0.2">
      <c r="A54" s="411">
        <f>18+1</f>
        <v>19</v>
      </c>
      <c r="B54" s="445" t="s">
        <v>24</v>
      </c>
      <c r="C54" s="417" t="s">
        <v>19</v>
      </c>
      <c r="D54" s="446">
        <v>5</v>
      </c>
      <c r="E54" s="405"/>
      <c r="F54" s="405"/>
      <c r="G54" s="405"/>
      <c r="H54" s="405"/>
      <c r="I54" s="236" t="s">
        <v>127</v>
      </c>
      <c r="J54" s="237" t="s">
        <v>19</v>
      </c>
      <c r="K54" s="223">
        <v>5</v>
      </c>
      <c r="L54" s="208" t="s">
        <v>20</v>
      </c>
    </row>
    <row r="55" spans="1:12" s="3" customFormat="1" ht="39.950000000000003" customHeight="1" x14ac:dyDescent="0.2">
      <c r="A55" s="412"/>
      <c r="B55" s="415"/>
      <c r="C55" s="418"/>
      <c r="D55" s="448"/>
      <c r="E55" s="406"/>
      <c r="F55" s="406"/>
      <c r="G55" s="406"/>
      <c r="H55" s="406"/>
      <c r="I55" s="246" t="s">
        <v>126</v>
      </c>
      <c r="J55" s="237" t="s">
        <v>19</v>
      </c>
      <c r="K55" s="223">
        <v>5</v>
      </c>
      <c r="L55" s="208" t="s">
        <v>20</v>
      </c>
    </row>
    <row r="56" spans="1:12" s="3" customFormat="1" ht="39.950000000000003" customHeight="1" x14ac:dyDescent="0.2">
      <c r="A56" s="413"/>
      <c r="B56" s="416"/>
      <c r="C56" s="419"/>
      <c r="D56" s="447"/>
      <c r="E56" s="407"/>
      <c r="F56" s="407"/>
      <c r="G56" s="407"/>
      <c r="H56" s="407"/>
      <c r="I56" s="246" t="s">
        <v>128</v>
      </c>
      <c r="J56" s="237" t="s">
        <v>19</v>
      </c>
      <c r="K56" s="223">
        <v>10</v>
      </c>
      <c r="L56" s="208" t="s">
        <v>20</v>
      </c>
    </row>
    <row r="57" spans="1:12" s="3" customFormat="1" ht="39.950000000000003" customHeight="1" x14ac:dyDescent="0.3">
      <c r="A57" s="411">
        <f>19+1</f>
        <v>20</v>
      </c>
      <c r="B57" s="445" t="s">
        <v>55</v>
      </c>
      <c r="C57" s="417" t="s">
        <v>19</v>
      </c>
      <c r="D57" s="446">
        <v>1</v>
      </c>
      <c r="E57" s="247"/>
      <c r="F57" s="247"/>
      <c r="G57" s="247"/>
      <c r="H57" s="247"/>
      <c r="I57" s="236" t="s">
        <v>127</v>
      </c>
      <c r="J57" s="212" t="s">
        <v>19</v>
      </c>
      <c r="K57" s="213">
        <v>1</v>
      </c>
      <c r="L57" s="208" t="s">
        <v>20</v>
      </c>
    </row>
    <row r="58" spans="1:12" s="3" customFormat="1" ht="39.950000000000003" customHeight="1" x14ac:dyDescent="0.3">
      <c r="A58" s="412"/>
      <c r="B58" s="415"/>
      <c r="C58" s="418"/>
      <c r="D58" s="448"/>
      <c r="E58" s="248"/>
      <c r="F58" s="248"/>
      <c r="G58" s="248"/>
      <c r="H58" s="248"/>
      <c r="I58" s="246" t="s">
        <v>125</v>
      </c>
      <c r="J58" s="212" t="s">
        <v>19</v>
      </c>
      <c r="K58" s="213">
        <v>1</v>
      </c>
      <c r="L58" s="208" t="s">
        <v>20</v>
      </c>
    </row>
    <row r="59" spans="1:12" s="3" customFormat="1" ht="39.950000000000003" customHeight="1" x14ac:dyDescent="0.3">
      <c r="A59" s="413"/>
      <c r="B59" s="416"/>
      <c r="C59" s="419"/>
      <c r="D59" s="447"/>
      <c r="E59" s="249"/>
      <c r="F59" s="249"/>
      <c r="G59" s="249"/>
      <c r="H59" s="249"/>
      <c r="I59" s="246" t="s">
        <v>128</v>
      </c>
      <c r="J59" s="212" t="s">
        <v>19</v>
      </c>
      <c r="K59" s="213">
        <v>1</v>
      </c>
      <c r="L59" s="208" t="s">
        <v>20</v>
      </c>
    </row>
    <row r="60" spans="1:12" s="3" customFormat="1" ht="39.950000000000003" customHeight="1" x14ac:dyDescent="0.3">
      <c r="A60" s="206">
        <f>20+1</f>
        <v>21</v>
      </c>
      <c r="B60" s="250" t="s">
        <v>141</v>
      </c>
      <c r="C60" s="208" t="s">
        <v>0</v>
      </c>
      <c r="D60" s="264">
        <v>14.2</v>
      </c>
      <c r="E60" s="210"/>
      <c r="F60" s="262"/>
      <c r="G60" s="262"/>
      <c r="H60" s="262"/>
      <c r="I60" s="207" t="s">
        <v>25</v>
      </c>
      <c r="J60" s="212" t="s">
        <v>0</v>
      </c>
      <c r="K60" s="213">
        <v>14.2</v>
      </c>
      <c r="L60" s="208" t="s">
        <v>20</v>
      </c>
    </row>
    <row r="61" spans="1:12" s="3" customFormat="1" ht="39.950000000000003" customHeight="1" x14ac:dyDescent="0.2">
      <c r="A61" s="423">
        <f>21+1</f>
        <v>22</v>
      </c>
      <c r="B61" s="424" t="s">
        <v>143</v>
      </c>
      <c r="C61" s="426" t="s">
        <v>0</v>
      </c>
      <c r="D61" s="427">
        <v>35.9</v>
      </c>
      <c r="E61" s="397"/>
      <c r="F61" s="402"/>
      <c r="G61" s="402"/>
      <c r="H61" s="402"/>
      <c r="I61" s="318" t="s">
        <v>114</v>
      </c>
      <c r="J61" s="229" t="s">
        <v>115</v>
      </c>
      <c r="K61" s="213">
        <v>1</v>
      </c>
      <c r="L61" s="324" t="s">
        <v>20</v>
      </c>
    </row>
    <row r="62" spans="1:12" s="3" customFormat="1" ht="39.950000000000003" customHeight="1" x14ac:dyDescent="0.2">
      <c r="A62" s="423"/>
      <c r="B62" s="425"/>
      <c r="C62" s="426"/>
      <c r="D62" s="427"/>
      <c r="E62" s="398"/>
      <c r="F62" s="403"/>
      <c r="G62" s="403"/>
      <c r="H62" s="403"/>
      <c r="I62" s="319" t="s">
        <v>25</v>
      </c>
      <c r="J62" s="212" t="s">
        <v>0</v>
      </c>
      <c r="K62" s="213">
        <v>35.9</v>
      </c>
      <c r="L62" s="320" t="s">
        <v>20</v>
      </c>
    </row>
    <row r="63" spans="1:12" s="3" customFormat="1" ht="39.950000000000003" customHeight="1" x14ac:dyDescent="0.2">
      <c r="A63" s="423"/>
      <c r="B63" s="425"/>
      <c r="C63" s="426"/>
      <c r="D63" s="427"/>
      <c r="E63" s="399"/>
      <c r="F63" s="404"/>
      <c r="G63" s="404"/>
      <c r="H63" s="404"/>
      <c r="I63" s="319" t="s">
        <v>66</v>
      </c>
      <c r="J63" s="212" t="s">
        <v>19</v>
      </c>
      <c r="K63" s="213">
        <v>35.9</v>
      </c>
      <c r="L63" s="320" t="s">
        <v>20</v>
      </c>
    </row>
    <row r="64" spans="1:12" s="3" customFormat="1" ht="39.950000000000003" customHeight="1" x14ac:dyDescent="0.2">
      <c r="A64" s="423">
        <f>23+1</f>
        <v>24</v>
      </c>
      <c r="B64" s="425" t="s">
        <v>61</v>
      </c>
      <c r="C64" s="426" t="s">
        <v>19</v>
      </c>
      <c r="D64" s="427">
        <v>16</v>
      </c>
      <c r="E64" s="400"/>
      <c r="F64" s="400"/>
      <c r="G64" s="400"/>
      <c r="H64" s="400"/>
      <c r="I64" s="319" t="s">
        <v>62</v>
      </c>
      <c r="J64" s="212" t="s">
        <v>19</v>
      </c>
      <c r="K64" s="213">
        <v>16</v>
      </c>
      <c r="L64" s="320" t="s">
        <v>20</v>
      </c>
    </row>
    <row r="65" spans="1:12" s="3" customFormat="1" ht="39.950000000000003" customHeight="1" x14ac:dyDescent="0.2">
      <c r="A65" s="423"/>
      <c r="B65" s="425"/>
      <c r="C65" s="426"/>
      <c r="D65" s="427"/>
      <c r="E65" s="401"/>
      <c r="F65" s="401"/>
      <c r="G65" s="401"/>
      <c r="H65" s="401"/>
      <c r="I65" s="319" t="s">
        <v>63</v>
      </c>
      <c r="J65" s="212" t="s">
        <v>19</v>
      </c>
      <c r="K65" s="213">
        <v>16</v>
      </c>
      <c r="L65" s="320" t="s">
        <v>20</v>
      </c>
    </row>
    <row r="66" spans="1:12" s="3" customFormat="1" ht="39.950000000000003" customHeight="1" x14ac:dyDescent="0.3">
      <c r="A66" s="187"/>
      <c r="B66" s="253" t="s">
        <v>67</v>
      </c>
      <c r="C66" s="189"/>
      <c r="D66" s="190"/>
      <c r="E66" s="189"/>
      <c r="F66" s="189"/>
      <c r="G66" s="189"/>
      <c r="H66" s="189"/>
      <c r="I66" s="189"/>
      <c r="J66" s="189"/>
      <c r="K66" s="205"/>
      <c r="L66" s="189"/>
    </row>
    <row r="67" spans="1:12" s="3" customFormat="1" ht="39.950000000000003" customHeight="1" x14ac:dyDescent="0.3">
      <c r="A67" s="206">
        <f>24+1</f>
        <v>25</v>
      </c>
      <c r="B67" s="319" t="s">
        <v>148</v>
      </c>
      <c r="C67" s="208" t="s">
        <v>19</v>
      </c>
      <c r="D67" s="209">
        <v>2</v>
      </c>
      <c r="E67" s="210"/>
      <c r="F67" s="210"/>
      <c r="G67" s="210"/>
      <c r="H67" s="210"/>
      <c r="I67" s="211"/>
      <c r="J67" s="212"/>
      <c r="K67" s="213"/>
      <c r="L67" s="208" t="s">
        <v>20</v>
      </c>
    </row>
    <row r="68" spans="1:12" s="3" customFormat="1" ht="39.950000000000003" customHeight="1" x14ac:dyDescent="0.2">
      <c r="A68" s="411">
        <f>25+1</f>
        <v>26</v>
      </c>
      <c r="B68" s="445" t="s">
        <v>50</v>
      </c>
      <c r="C68" s="417" t="s">
        <v>0</v>
      </c>
      <c r="D68" s="446">
        <v>2</v>
      </c>
      <c r="E68" s="405"/>
      <c r="F68" s="405"/>
      <c r="G68" s="405"/>
      <c r="H68" s="405"/>
      <c r="I68" s="211" t="s">
        <v>51</v>
      </c>
      <c r="J68" s="212" t="s">
        <v>0</v>
      </c>
      <c r="K68" s="213">
        <v>2</v>
      </c>
      <c r="L68" s="208" t="s">
        <v>20</v>
      </c>
    </row>
    <row r="69" spans="1:12" s="3" customFormat="1" ht="39.950000000000003" customHeight="1" x14ac:dyDescent="0.2">
      <c r="A69" s="413"/>
      <c r="B69" s="416"/>
      <c r="C69" s="419"/>
      <c r="D69" s="447"/>
      <c r="E69" s="407"/>
      <c r="F69" s="407"/>
      <c r="G69" s="407"/>
      <c r="H69" s="407"/>
      <c r="I69" s="211" t="s">
        <v>57</v>
      </c>
      <c r="J69" s="212" t="s">
        <v>19</v>
      </c>
      <c r="K69" s="213">
        <v>2</v>
      </c>
      <c r="L69" s="208" t="s">
        <v>20</v>
      </c>
    </row>
    <row r="70" spans="1:12" s="3" customFormat="1" ht="39.950000000000003" customHeight="1" x14ac:dyDescent="0.3">
      <c r="A70" s="254">
        <f>26+1</f>
        <v>27</v>
      </c>
      <c r="B70" s="215" t="s">
        <v>69</v>
      </c>
      <c r="C70" s="216" t="s">
        <v>19</v>
      </c>
      <c r="D70" s="217">
        <v>1</v>
      </c>
      <c r="E70" s="248"/>
      <c r="F70" s="248"/>
      <c r="G70" s="248"/>
      <c r="H70" s="248"/>
      <c r="I70" s="211" t="s">
        <v>70</v>
      </c>
      <c r="J70" s="212" t="s">
        <v>19</v>
      </c>
      <c r="K70" s="213">
        <v>1</v>
      </c>
      <c r="L70" s="208" t="s">
        <v>20</v>
      </c>
    </row>
    <row r="71" spans="1:12" s="3" customFormat="1" ht="39.950000000000003" customHeight="1" x14ac:dyDescent="0.2">
      <c r="A71" s="245">
        <f>27+1</f>
        <v>28</v>
      </c>
      <c r="B71" s="218" t="s">
        <v>21</v>
      </c>
      <c r="C71" s="219" t="s">
        <v>0</v>
      </c>
      <c r="D71" s="220">
        <v>64</v>
      </c>
      <c r="E71" s="221"/>
      <c r="F71" s="221"/>
      <c r="G71" s="221"/>
      <c r="H71" s="221"/>
      <c r="I71" s="207" t="s">
        <v>22</v>
      </c>
      <c r="J71" s="212" t="s">
        <v>0</v>
      </c>
      <c r="K71" s="213">
        <v>64</v>
      </c>
      <c r="L71" s="208" t="s">
        <v>20</v>
      </c>
    </row>
    <row r="72" spans="1:12" s="3" customFormat="1" ht="39.950000000000003" customHeight="1" x14ac:dyDescent="0.2">
      <c r="A72" s="411">
        <f>28+1</f>
        <v>29</v>
      </c>
      <c r="B72" s="445" t="s">
        <v>23</v>
      </c>
      <c r="C72" s="417" t="s">
        <v>0</v>
      </c>
      <c r="D72" s="420">
        <v>60</v>
      </c>
      <c r="E72" s="400"/>
      <c r="F72" s="400"/>
      <c r="G72" s="400"/>
      <c r="H72" s="400"/>
      <c r="I72" s="207" t="s">
        <v>152</v>
      </c>
      <c r="J72" s="212" t="s">
        <v>115</v>
      </c>
      <c r="K72" s="213">
        <v>6</v>
      </c>
      <c r="L72" s="208" t="s">
        <v>20</v>
      </c>
    </row>
    <row r="73" spans="1:12" s="3" customFormat="1" ht="39.950000000000003" customHeight="1" x14ac:dyDescent="0.2">
      <c r="A73" s="413"/>
      <c r="B73" s="416"/>
      <c r="C73" s="419"/>
      <c r="D73" s="422"/>
      <c r="E73" s="401"/>
      <c r="F73" s="401"/>
      <c r="G73" s="401"/>
      <c r="H73" s="401"/>
      <c r="I73" s="207" t="s">
        <v>22</v>
      </c>
      <c r="J73" s="212" t="s">
        <v>0</v>
      </c>
      <c r="K73" s="213">
        <v>60</v>
      </c>
      <c r="L73" s="208" t="s">
        <v>20</v>
      </c>
    </row>
    <row r="74" spans="1:12" s="3" customFormat="1" ht="39.950000000000003" customHeight="1" x14ac:dyDescent="0.2">
      <c r="A74" s="430">
        <f>29+1</f>
        <v>30</v>
      </c>
      <c r="B74" s="414" t="s">
        <v>24</v>
      </c>
      <c r="C74" s="435" t="s">
        <v>19</v>
      </c>
      <c r="D74" s="438">
        <v>2</v>
      </c>
      <c r="E74" s="397"/>
      <c r="F74" s="397"/>
      <c r="G74" s="397"/>
      <c r="H74" s="397"/>
      <c r="I74" s="198" t="s">
        <v>127</v>
      </c>
      <c r="J74" s="196" t="s">
        <v>19</v>
      </c>
      <c r="K74" s="223">
        <v>2</v>
      </c>
      <c r="L74" s="224" t="s">
        <v>20</v>
      </c>
    </row>
    <row r="75" spans="1:12" s="3" customFormat="1" ht="39.950000000000003" customHeight="1" x14ac:dyDescent="0.2">
      <c r="A75" s="431"/>
      <c r="B75" s="433"/>
      <c r="C75" s="436"/>
      <c r="D75" s="439"/>
      <c r="E75" s="398"/>
      <c r="F75" s="398"/>
      <c r="G75" s="398"/>
      <c r="H75" s="398"/>
      <c r="I75" s="225" t="s">
        <v>126</v>
      </c>
      <c r="J75" s="196" t="s">
        <v>19</v>
      </c>
      <c r="K75" s="223">
        <v>2</v>
      </c>
      <c r="L75" s="224" t="s">
        <v>20</v>
      </c>
    </row>
    <row r="76" spans="1:12" s="3" customFormat="1" ht="39.950000000000003" customHeight="1" x14ac:dyDescent="0.2">
      <c r="A76" s="432"/>
      <c r="B76" s="434"/>
      <c r="C76" s="437"/>
      <c r="D76" s="440"/>
      <c r="E76" s="399"/>
      <c r="F76" s="399"/>
      <c r="G76" s="399"/>
      <c r="H76" s="399"/>
      <c r="I76" s="225" t="s">
        <v>128</v>
      </c>
      <c r="J76" s="196" t="s">
        <v>19</v>
      </c>
      <c r="K76" s="223">
        <v>4</v>
      </c>
      <c r="L76" s="224" t="s">
        <v>20</v>
      </c>
    </row>
    <row r="77" spans="1:12" s="3" customFormat="1" ht="39.950000000000003" customHeight="1" x14ac:dyDescent="0.3">
      <c r="A77" s="430">
        <f>30+1</f>
        <v>31</v>
      </c>
      <c r="B77" s="414" t="s">
        <v>55</v>
      </c>
      <c r="C77" s="435" t="s">
        <v>19</v>
      </c>
      <c r="D77" s="438">
        <v>1</v>
      </c>
      <c r="E77" s="228"/>
      <c r="F77" s="228"/>
      <c r="G77" s="228"/>
      <c r="H77" s="228"/>
      <c r="I77" s="198" t="s">
        <v>127</v>
      </c>
      <c r="J77" s="229" t="s">
        <v>19</v>
      </c>
      <c r="K77" s="213">
        <v>1</v>
      </c>
      <c r="L77" s="224" t="s">
        <v>20</v>
      </c>
    </row>
    <row r="78" spans="1:12" s="3" customFormat="1" ht="39.950000000000003" customHeight="1" x14ac:dyDescent="0.3">
      <c r="A78" s="431"/>
      <c r="B78" s="433"/>
      <c r="C78" s="436"/>
      <c r="D78" s="439"/>
      <c r="E78" s="230"/>
      <c r="F78" s="230"/>
      <c r="G78" s="230"/>
      <c r="H78" s="230"/>
      <c r="I78" s="225" t="s">
        <v>125</v>
      </c>
      <c r="J78" s="229" t="s">
        <v>19</v>
      </c>
      <c r="K78" s="213">
        <v>1</v>
      </c>
      <c r="L78" s="224" t="s">
        <v>20</v>
      </c>
    </row>
    <row r="79" spans="1:12" s="3" customFormat="1" ht="39.950000000000003" customHeight="1" x14ac:dyDescent="0.3">
      <c r="A79" s="432"/>
      <c r="B79" s="434"/>
      <c r="C79" s="437"/>
      <c r="D79" s="440"/>
      <c r="E79" s="231"/>
      <c r="F79" s="231"/>
      <c r="G79" s="231"/>
      <c r="H79" s="231"/>
      <c r="I79" s="225" t="s">
        <v>128</v>
      </c>
      <c r="J79" s="229" t="s">
        <v>19</v>
      </c>
      <c r="K79" s="213">
        <v>1</v>
      </c>
      <c r="L79" s="224" t="s">
        <v>20</v>
      </c>
    </row>
    <row r="80" spans="1:12" s="3" customFormat="1" ht="39.950000000000003" customHeight="1" x14ac:dyDescent="0.3">
      <c r="A80" s="245">
        <f>31+1</f>
        <v>32</v>
      </c>
      <c r="B80" s="232" t="s">
        <v>141</v>
      </c>
      <c r="C80" s="216" t="s">
        <v>0</v>
      </c>
      <c r="D80" s="233">
        <v>3.3</v>
      </c>
      <c r="E80" s="234"/>
      <c r="F80" s="235"/>
      <c r="G80" s="235"/>
      <c r="H80" s="235"/>
      <c r="I80" s="236" t="s">
        <v>25</v>
      </c>
      <c r="J80" s="237" t="s">
        <v>0</v>
      </c>
      <c r="K80" s="223">
        <v>3.3</v>
      </c>
      <c r="L80" s="238" t="s">
        <v>20</v>
      </c>
    </row>
    <row r="81" spans="1:12" s="3" customFormat="1" ht="39.950000000000003" customHeight="1" x14ac:dyDescent="0.2">
      <c r="A81" s="423">
        <f>32+1</f>
        <v>33</v>
      </c>
      <c r="B81" s="424" t="s">
        <v>143</v>
      </c>
      <c r="C81" s="426" t="s">
        <v>0</v>
      </c>
      <c r="D81" s="427">
        <v>0.5</v>
      </c>
      <c r="E81" s="397"/>
      <c r="F81" s="402"/>
      <c r="G81" s="402"/>
      <c r="H81" s="402"/>
      <c r="I81" s="198" t="s">
        <v>114</v>
      </c>
      <c r="J81" s="196" t="s">
        <v>115</v>
      </c>
      <c r="K81" s="223">
        <v>1</v>
      </c>
      <c r="L81" s="197" t="s">
        <v>20</v>
      </c>
    </row>
    <row r="82" spans="1:12" s="3" customFormat="1" ht="39.950000000000003" customHeight="1" x14ac:dyDescent="0.2">
      <c r="A82" s="423"/>
      <c r="B82" s="425"/>
      <c r="C82" s="426"/>
      <c r="D82" s="427"/>
      <c r="E82" s="398"/>
      <c r="F82" s="403"/>
      <c r="G82" s="403"/>
      <c r="H82" s="403"/>
      <c r="I82" s="207" t="s">
        <v>25</v>
      </c>
      <c r="J82" s="212" t="s">
        <v>0</v>
      </c>
      <c r="K82" s="213">
        <v>0.5</v>
      </c>
      <c r="L82" s="208" t="s">
        <v>20</v>
      </c>
    </row>
    <row r="83" spans="1:12" s="3" customFormat="1" ht="39.950000000000003" customHeight="1" x14ac:dyDescent="0.2">
      <c r="A83" s="423"/>
      <c r="B83" s="425"/>
      <c r="C83" s="426"/>
      <c r="D83" s="427"/>
      <c r="E83" s="399"/>
      <c r="F83" s="404"/>
      <c r="G83" s="404"/>
      <c r="H83" s="404"/>
      <c r="I83" s="207" t="s">
        <v>66</v>
      </c>
      <c r="J83" s="212" t="s">
        <v>19</v>
      </c>
      <c r="K83" s="213">
        <v>0.5</v>
      </c>
      <c r="L83" s="208" t="s">
        <v>20</v>
      </c>
    </row>
    <row r="84" spans="1:12" s="3" customFormat="1" ht="39.950000000000003" customHeight="1" x14ac:dyDescent="0.2">
      <c r="A84" s="423">
        <f>33+1</f>
        <v>34</v>
      </c>
      <c r="B84" s="425" t="s">
        <v>61</v>
      </c>
      <c r="C84" s="426" t="s">
        <v>19</v>
      </c>
      <c r="D84" s="427">
        <v>7</v>
      </c>
      <c r="E84" s="400"/>
      <c r="F84" s="400"/>
      <c r="G84" s="400"/>
      <c r="H84" s="400"/>
      <c r="I84" s="207" t="s">
        <v>62</v>
      </c>
      <c r="J84" s="212" t="s">
        <v>19</v>
      </c>
      <c r="K84" s="213">
        <v>7</v>
      </c>
      <c r="L84" s="208" t="s">
        <v>20</v>
      </c>
    </row>
    <row r="85" spans="1:12" s="3" customFormat="1" ht="39.950000000000003" customHeight="1" x14ac:dyDescent="0.2">
      <c r="A85" s="423"/>
      <c r="B85" s="425"/>
      <c r="C85" s="426"/>
      <c r="D85" s="427"/>
      <c r="E85" s="401"/>
      <c r="F85" s="401"/>
      <c r="G85" s="401"/>
      <c r="H85" s="401"/>
      <c r="I85" s="207" t="s">
        <v>63</v>
      </c>
      <c r="J85" s="212" t="s">
        <v>19</v>
      </c>
      <c r="K85" s="213">
        <v>7</v>
      </c>
      <c r="L85" s="208" t="s">
        <v>20</v>
      </c>
    </row>
    <row r="86" spans="1:12" s="3" customFormat="1" ht="39.950000000000003" customHeight="1" x14ac:dyDescent="0.3">
      <c r="A86" s="306"/>
      <c r="B86" s="307" t="s">
        <v>68</v>
      </c>
      <c r="C86" s="308"/>
      <c r="D86" s="309"/>
      <c r="E86" s="308"/>
      <c r="F86" s="308"/>
      <c r="G86" s="308"/>
      <c r="H86" s="308"/>
      <c r="I86" s="308"/>
      <c r="J86" s="308"/>
      <c r="K86" s="257"/>
      <c r="L86" s="308"/>
    </row>
    <row r="87" spans="1:12" s="3" customFormat="1" ht="39.950000000000003" customHeight="1" x14ac:dyDescent="0.3">
      <c r="A87" s="206">
        <f>34+1</f>
        <v>35</v>
      </c>
      <c r="B87" s="319" t="s">
        <v>148</v>
      </c>
      <c r="C87" s="208" t="s">
        <v>19</v>
      </c>
      <c r="D87" s="209">
        <v>2</v>
      </c>
      <c r="E87" s="210"/>
      <c r="F87" s="210"/>
      <c r="G87" s="210"/>
      <c r="H87" s="210"/>
      <c r="I87" s="211"/>
      <c r="J87" s="212"/>
      <c r="K87" s="213"/>
      <c r="L87" s="208" t="s">
        <v>20</v>
      </c>
    </row>
    <row r="88" spans="1:12" s="3" customFormat="1" ht="39.950000000000003" customHeight="1" x14ac:dyDescent="0.2">
      <c r="A88" s="411">
        <f>35+1</f>
        <v>36</v>
      </c>
      <c r="B88" s="445" t="s">
        <v>50</v>
      </c>
      <c r="C88" s="417" t="s">
        <v>0</v>
      </c>
      <c r="D88" s="446">
        <v>11</v>
      </c>
      <c r="E88" s="405"/>
      <c r="F88" s="405"/>
      <c r="G88" s="405"/>
      <c r="H88" s="405"/>
      <c r="I88" s="261" t="s">
        <v>51</v>
      </c>
      <c r="J88" s="229" t="s">
        <v>0</v>
      </c>
      <c r="K88" s="213">
        <v>11</v>
      </c>
      <c r="L88" s="224" t="s">
        <v>20</v>
      </c>
    </row>
    <row r="89" spans="1:12" s="3" customFormat="1" ht="39.950000000000003" customHeight="1" x14ac:dyDescent="0.2">
      <c r="A89" s="412"/>
      <c r="B89" s="415"/>
      <c r="C89" s="418"/>
      <c r="D89" s="448"/>
      <c r="E89" s="406"/>
      <c r="F89" s="406"/>
      <c r="G89" s="406"/>
      <c r="H89" s="406"/>
      <c r="I89" s="211" t="s">
        <v>71</v>
      </c>
      <c r="J89" s="212" t="s">
        <v>19</v>
      </c>
      <c r="K89" s="213">
        <v>3</v>
      </c>
      <c r="L89" s="208" t="s">
        <v>20</v>
      </c>
    </row>
    <row r="90" spans="1:12" s="3" customFormat="1" ht="39.950000000000003" customHeight="1" x14ac:dyDescent="0.2">
      <c r="A90" s="412"/>
      <c r="B90" s="415"/>
      <c r="C90" s="418"/>
      <c r="D90" s="448"/>
      <c r="E90" s="406"/>
      <c r="F90" s="406"/>
      <c r="G90" s="406"/>
      <c r="H90" s="406"/>
      <c r="I90" s="211" t="s">
        <v>56</v>
      </c>
      <c r="J90" s="212" t="s">
        <v>19</v>
      </c>
      <c r="K90" s="213">
        <v>1</v>
      </c>
      <c r="L90" s="208" t="s">
        <v>20</v>
      </c>
    </row>
    <row r="91" spans="1:12" s="3" customFormat="1" ht="39.950000000000003" customHeight="1" x14ac:dyDescent="0.2">
      <c r="A91" s="412"/>
      <c r="B91" s="415"/>
      <c r="C91" s="418"/>
      <c r="D91" s="448"/>
      <c r="E91" s="406"/>
      <c r="F91" s="406"/>
      <c r="G91" s="406"/>
      <c r="H91" s="406"/>
      <c r="I91" s="211" t="s">
        <v>72</v>
      </c>
      <c r="J91" s="212" t="s">
        <v>19</v>
      </c>
      <c r="K91" s="213">
        <v>2</v>
      </c>
      <c r="L91" s="208" t="s">
        <v>20</v>
      </c>
    </row>
    <row r="92" spans="1:12" s="3" customFormat="1" ht="39.950000000000003" customHeight="1" x14ac:dyDescent="0.2">
      <c r="A92" s="412"/>
      <c r="B92" s="415"/>
      <c r="C92" s="418"/>
      <c r="D92" s="448"/>
      <c r="E92" s="406"/>
      <c r="F92" s="406"/>
      <c r="G92" s="406"/>
      <c r="H92" s="406"/>
      <c r="I92" s="211" t="s">
        <v>122</v>
      </c>
      <c r="J92" s="212" t="s">
        <v>19</v>
      </c>
      <c r="K92" s="213">
        <v>2</v>
      </c>
      <c r="L92" s="208" t="s">
        <v>20</v>
      </c>
    </row>
    <row r="93" spans="1:12" s="3" customFormat="1" ht="39.950000000000003" customHeight="1" x14ac:dyDescent="0.2">
      <c r="A93" s="413"/>
      <c r="B93" s="416"/>
      <c r="C93" s="419"/>
      <c r="D93" s="447"/>
      <c r="E93" s="407"/>
      <c r="F93" s="407"/>
      <c r="G93" s="407"/>
      <c r="H93" s="407"/>
      <c r="I93" s="211" t="s">
        <v>57</v>
      </c>
      <c r="J93" s="212" t="s">
        <v>19</v>
      </c>
      <c r="K93" s="213">
        <v>2</v>
      </c>
      <c r="L93" s="208" t="s">
        <v>20</v>
      </c>
    </row>
    <row r="94" spans="1:12" s="3" customFormat="1" ht="39.950000000000003" customHeight="1" x14ac:dyDescent="0.3">
      <c r="A94" s="254">
        <f>36+1</f>
        <v>37</v>
      </c>
      <c r="B94" s="215" t="s">
        <v>69</v>
      </c>
      <c r="C94" s="216" t="s">
        <v>19</v>
      </c>
      <c r="D94" s="217">
        <v>1</v>
      </c>
      <c r="E94" s="248"/>
      <c r="F94" s="248"/>
      <c r="G94" s="248"/>
      <c r="H94" s="248"/>
      <c r="I94" s="211" t="s">
        <v>70</v>
      </c>
      <c r="J94" s="212" t="s">
        <v>19</v>
      </c>
      <c r="K94" s="213">
        <v>1</v>
      </c>
      <c r="L94" s="208" t="s">
        <v>20</v>
      </c>
    </row>
    <row r="95" spans="1:12" s="3" customFormat="1" ht="39.950000000000003" customHeight="1" x14ac:dyDescent="0.2">
      <c r="A95" s="245">
        <f>37+1</f>
        <v>38</v>
      </c>
      <c r="B95" s="218" t="s">
        <v>21</v>
      </c>
      <c r="C95" s="219" t="s">
        <v>0</v>
      </c>
      <c r="D95" s="220">
        <v>60</v>
      </c>
      <c r="E95" s="221"/>
      <c r="F95" s="221"/>
      <c r="G95" s="221"/>
      <c r="H95" s="221"/>
      <c r="I95" s="207" t="s">
        <v>22</v>
      </c>
      <c r="J95" s="212" t="s">
        <v>0</v>
      </c>
      <c r="K95" s="213">
        <v>60</v>
      </c>
      <c r="L95" s="208" t="s">
        <v>20</v>
      </c>
    </row>
    <row r="96" spans="1:12" s="3" customFormat="1" ht="39.950000000000003" customHeight="1" x14ac:dyDescent="0.2">
      <c r="A96" s="423">
        <f>38+1</f>
        <v>39</v>
      </c>
      <c r="B96" s="425" t="s">
        <v>23</v>
      </c>
      <c r="C96" s="426" t="s">
        <v>0</v>
      </c>
      <c r="D96" s="427">
        <v>25.8</v>
      </c>
      <c r="E96" s="400"/>
      <c r="F96" s="400"/>
      <c r="G96" s="400"/>
      <c r="H96" s="400"/>
      <c r="I96" s="207" t="s">
        <v>114</v>
      </c>
      <c r="J96" s="212" t="s">
        <v>115</v>
      </c>
      <c r="K96" s="213">
        <v>1</v>
      </c>
      <c r="L96" s="208" t="s">
        <v>20</v>
      </c>
    </row>
    <row r="97" spans="1:12" s="3" customFormat="1" ht="39.950000000000003" customHeight="1" x14ac:dyDescent="0.2">
      <c r="A97" s="423"/>
      <c r="B97" s="425"/>
      <c r="C97" s="426"/>
      <c r="D97" s="427"/>
      <c r="E97" s="401"/>
      <c r="F97" s="401"/>
      <c r="G97" s="401"/>
      <c r="H97" s="401"/>
      <c r="I97" s="207" t="s">
        <v>22</v>
      </c>
      <c r="J97" s="212" t="s">
        <v>0</v>
      </c>
      <c r="K97" s="213">
        <v>25.8</v>
      </c>
      <c r="L97" s="208" t="s">
        <v>20</v>
      </c>
    </row>
    <row r="98" spans="1:12" s="3" customFormat="1" ht="39.950000000000003" customHeight="1" x14ac:dyDescent="0.2">
      <c r="A98" s="430">
        <f>39+1</f>
        <v>40</v>
      </c>
      <c r="B98" s="414" t="s">
        <v>24</v>
      </c>
      <c r="C98" s="435" t="s">
        <v>19</v>
      </c>
      <c r="D98" s="438">
        <v>2</v>
      </c>
      <c r="E98" s="397"/>
      <c r="F98" s="397"/>
      <c r="G98" s="397"/>
      <c r="H98" s="397"/>
      <c r="I98" s="198" t="s">
        <v>127</v>
      </c>
      <c r="J98" s="196" t="s">
        <v>19</v>
      </c>
      <c r="K98" s="223">
        <v>2</v>
      </c>
      <c r="L98" s="224" t="s">
        <v>20</v>
      </c>
    </row>
    <row r="99" spans="1:12" s="3" customFormat="1" ht="39.950000000000003" customHeight="1" x14ac:dyDescent="0.2">
      <c r="A99" s="431"/>
      <c r="B99" s="433"/>
      <c r="C99" s="436"/>
      <c r="D99" s="439"/>
      <c r="E99" s="398"/>
      <c r="F99" s="398"/>
      <c r="G99" s="398"/>
      <c r="H99" s="398"/>
      <c r="I99" s="225" t="s">
        <v>126</v>
      </c>
      <c r="J99" s="196" t="s">
        <v>19</v>
      </c>
      <c r="K99" s="223">
        <v>2</v>
      </c>
      <c r="L99" s="224" t="s">
        <v>20</v>
      </c>
    </row>
    <row r="100" spans="1:12" s="3" customFormat="1" ht="39.950000000000003" customHeight="1" x14ac:dyDescent="0.2">
      <c r="A100" s="432"/>
      <c r="B100" s="434"/>
      <c r="C100" s="437"/>
      <c r="D100" s="440"/>
      <c r="E100" s="399"/>
      <c r="F100" s="399"/>
      <c r="G100" s="399"/>
      <c r="H100" s="399"/>
      <c r="I100" s="225" t="s">
        <v>128</v>
      </c>
      <c r="J100" s="196" t="s">
        <v>19</v>
      </c>
      <c r="K100" s="223">
        <v>4</v>
      </c>
      <c r="L100" s="224" t="s">
        <v>20</v>
      </c>
    </row>
    <row r="101" spans="1:12" s="3" customFormat="1" ht="39.950000000000003" customHeight="1" x14ac:dyDescent="0.3">
      <c r="A101" s="449">
        <f>40+1</f>
        <v>41</v>
      </c>
      <c r="B101" s="424" t="s">
        <v>55</v>
      </c>
      <c r="C101" s="435" t="s">
        <v>19</v>
      </c>
      <c r="D101" s="438">
        <v>1</v>
      </c>
      <c r="E101" s="228"/>
      <c r="F101" s="228"/>
      <c r="G101" s="228"/>
      <c r="H101" s="228"/>
      <c r="I101" s="198" t="s">
        <v>127</v>
      </c>
      <c r="J101" s="229" t="s">
        <v>19</v>
      </c>
      <c r="K101" s="213">
        <v>1</v>
      </c>
      <c r="L101" s="224" t="s">
        <v>20</v>
      </c>
    </row>
    <row r="102" spans="1:12" s="3" customFormat="1" ht="39.950000000000003" customHeight="1" x14ac:dyDescent="0.3">
      <c r="A102" s="449"/>
      <c r="B102" s="424"/>
      <c r="C102" s="436"/>
      <c r="D102" s="439"/>
      <c r="E102" s="230"/>
      <c r="F102" s="230"/>
      <c r="G102" s="230"/>
      <c r="H102" s="230"/>
      <c r="I102" s="225" t="s">
        <v>125</v>
      </c>
      <c r="J102" s="229" t="s">
        <v>19</v>
      </c>
      <c r="K102" s="213">
        <v>1</v>
      </c>
      <c r="L102" s="224" t="s">
        <v>20</v>
      </c>
    </row>
    <row r="103" spans="1:12" s="3" customFormat="1" ht="39.950000000000003" customHeight="1" x14ac:dyDescent="0.3">
      <c r="A103" s="449"/>
      <c r="B103" s="424"/>
      <c r="C103" s="437"/>
      <c r="D103" s="440"/>
      <c r="E103" s="231"/>
      <c r="F103" s="231"/>
      <c r="G103" s="231"/>
      <c r="H103" s="231"/>
      <c r="I103" s="225" t="s">
        <v>128</v>
      </c>
      <c r="J103" s="229" t="s">
        <v>19</v>
      </c>
      <c r="K103" s="213">
        <v>1</v>
      </c>
      <c r="L103" s="224" t="s">
        <v>20</v>
      </c>
    </row>
    <row r="104" spans="1:12" s="3" customFormat="1" ht="39.950000000000003" customHeight="1" x14ac:dyDescent="0.2">
      <c r="A104" s="423">
        <f>42+1</f>
        <v>43</v>
      </c>
      <c r="B104" s="424" t="s">
        <v>143</v>
      </c>
      <c r="C104" s="426" t="s">
        <v>0</v>
      </c>
      <c r="D104" s="427">
        <v>25.7</v>
      </c>
      <c r="E104" s="397"/>
      <c r="F104" s="402"/>
      <c r="G104" s="402"/>
      <c r="H104" s="402"/>
      <c r="I104" s="201" t="s">
        <v>114</v>
      </c>
      <c r="J104" s="196" t="s">
        <v>115</v>
      </c>
      <c r="K104" s="223">
        <v>1</v>
      </c>
      <c r="L104" s="197" t="s">
        <v>20</v>
      </c>
    </row>
    <row r="105" spans="1:12" s="3" customFormat="1" ht="39.950000000000003" customHeight="1" x14ac:dyDescent="0.2">
      <c r="A105" s="423"/>
      <c r="B105" s="425"/>
      <c r="C105" s="426"/>
      <c r="D105" s="427"/>
      <c r="E105" s="398"/>
      <c r="F105" s="403"/>
      <c r="G105" s="403"/>
      <c r="H105" s="403"/>
      <c r="I105" s="207" t="s">
        <v>25</v>
      </c>
      <c r="J105" s="212" t="s">
        <v>0</v>
      </c>
      <c r="K105" s="213">
        <v>25.7</v>
      </c>
      <c r="L105" s="208" t="s">
        <v>20</v>
      </c>
    </row>
    <row r="106" spans="1:12" s="3" customFormat="1" ht="39.950000000000003" customHeight="1" x14ac:dyDescent="0.2">
      <c r="A106" s="423"/>
      <c r="B106" s="425"/>
      <c r="C106" s="426"/>
      <c r="D106" s="427"/>
      <c r="E106" s="399"/>
      <c r="F106" s="404"/>
      <c r="G106" s="404"/>
      <c r="H106" s="404"/>
      <c r="I106" s="207" t="s">
        <v>66</v>
      </c>
      <c r="J106" s="212" t="s">
        <v>19</v>
      </c>
      <c r="K106" s="213">
        <v>25.7</v>
      </c>
      <c r="L106" s="208" t="s">
        <v>20</v>
      </c>
    </row>
    <row r="107" spans="1:12" s="3" customFormat="1" ht="39.950000000000003" customHeight="1" x14ac:dyDescent="0.2">
      <c r="A107" s="263">
        <f>43+1</f>
        <v>44</v>
      </c>
      <c r="B107" s="250" t="s">
        <v>141</v>
      </c>
      <c r="C107" s="208" t="s">
        <v>0</v>
      </c>
      <c r="D107" s="264">
        <v>19.2</v>
      </c>
      <c r="E107" s="256"/>
      <c r="F107" s="256"/>
      <c r="G107" s="256"/>
      <c r="H107" s="256"/>
      <c r="I107" s="236" t="s">
        <v>25</v>
      </c>
      <c r="J107" s="237" t="s">
        <v>0</v>
      </c>
      <c r="K107" s="223">
        <v>19.2</v>
      </c>
      <c r="L107" s="208" t="s">
        <v>20</v>
      </c>
    </row>
    <row r="108" spans="1:12" s="3" customFormat="1" ht="39.950000000000003" customHeight="1" x14ac:dyDescent="0.2">
      <c r="A108" s="423">
        <f>44+1</f>
        <v>45</v>
      </c>
      <c r="B108" s="425" t="s">
        <v>61</v>
      </c>
      <c r="C108" s="426" t="s">
        <v>19</v>
      </c>
      <c r="D108" s="427">
        <v>7</v>
      </c>
      <c r="E108" s="400"/>
      <c r="F108" s="400"/>
      <c r="G108" s="400"/>
      <c r="H108" s="400"/>
      <c r="I108" s="236" t="s">
        <v>62</v>
      </c>
      <c r="J108" s="237" t="s">
        <v>19</v>
      </c>
      <c r="K108" s="223">
        <v>7</v>
      </c>
      <c r="L108" s="208" t="s">
        <v>20</v>
      </c>
    </row>
    <row r="109" spans="1:12" s="3" customFormat="1" ht="39.950000000000003" customHeight="1" x14ac:dyDescent="0.2">
      <c r="A109" s="423"/>
      <c r="B109" s="425"/>
      <c r="C109" s="426"/>
      <c r="D109" s="427"/>
      <c r="E109" s="401"/>
      <c r="F109" s="401"/>
      <c r="G109" s="401"/>
      <c r="H109" s="401"/>
      <c r="I109" s="236" t="s">
        <v>63</v>
      </c>
      <c r="J109" s="237" t="s">
        <v>19</v>
      </c>
      <c r="K109" s="223">
        <v>7</v>
      </c>
      <c r="L109" s="208" t="s">
        <v>20</v>
      </c>
    </row>
    <row r="110" spans="1:12" s="3" customFormat="1" ht="39.950000000000003" customHeight="1" x14ac:dyDescent="0.3">
      <c r="A110" s="187"/>
      <c r="B110" s="253" t="s">
        <v>73</v>
      </c>
      <c r="C110" s="189"/>
      <c r="D110" s="190"/>
      <c r="E110" s="189"/>
      <c r="F110" s="189"/>
      <c r="G110" s="189"/>
      <c r="H110" s="189"/>
      <c r="I110" s="189"/>
      <c r="J110" s="189"/>
      <c r="K110" s="205"/>
      <c r="L110" s="189"/>
    </row>
    <row r="111" spans="1:12" s="2" customFormat="1" ht="39.950000000000003" customHeight="1" x14ac:dyDescent="0.2">
      <c r="A111" s="453">
        <v>46</v>
      </c>
      <c r="B111" s="425" t="s">
        <v>129</v>
      </c>
      <c r="C111" s="426" t="s">
        <v>19</v>
      </c>
      <c r="D111" s="454">
        <v>1</v>
      </c>
      <c r="E111" s="408"/>
      <c r="F111" s="408"/>
      <c r="G111" s="408"/>
      <c r="H111" s="408"/>
      <c r="I111" s="265" t="s">
        <v>130</v>
      </c>
      <c r="J111" s="266" t="s">
        <v>19</v>
      </c>
      <c r="K111" s="186">
        <v>1</v>
      </c>
      <c r="L111" s="208" t="s">
        <v>20</v>
      </c>
    </row>
    <row r="112" spans="1:12" s="2" customFormat="1" ht="39.950000000000003" customHeight="1" x14ac:dyDescent="0.2">
      <c r="A112" s="453"/>
      <c r="B112" s="425"/>
      <c r="C112" s="426"/>
      <c r="D112" s="454"/>
      <c r="E112" s="409"/>
      <c r="F112" s="409"/>
      <c r="G112" s="409"/>
      <c r="H112" s="409"/>
      <c r="I112" s="265" t="s">
        <v>131</v>
      </c>
      <c r="J112" s="266" t="s">
        <v>19</v>
      </c>
      <c r="K112" s="186">
        <v>1</v>
      </c>
      <c r="L112" s="208" t="s">
        <v>20</v>
      </c>
    </row>
    <row r="113" spans="1:13" s="2" customFormat="1" ht="39.950000000000003" customHeight="1" x14ac:dyDescent="0.2">
      <c r="A113" s="453"/>
      <c r="B113" s="425"/>
      <c r="C113" s="426"/>
      <c r="D113" s="454"/>
      <c r="E113" s="409"/>
      <c r="F113" s="409"/>
      <c r="G113" s="409"/>
      <c r="H113" s="409"/>
      <c r="I113" s="265" t="s">
        <v>132</v>
      </c>
      <c r="J113" s="266" t="s">
        <v>19</v>
      </c>
      <c r="K113" s="186">
        <v>1</v>
      </c>
      <c r="L113" s="208" t="s">
        <v>20</v>
      </c>
    </row>
    <row r="114" spans="1:13" s="2" customFormat="1" ht="39.950000000000003" customHeight="1" x14ac:dyDescent="0.2">
      <c r="A114" s="453"/>
      <c r="B114" s="425"/>
      <c r="C114" s="426"/>
      <c r="D114" s="454"/>
      <c r="E114" s="409"/>
      <c r="F114" s="409"/>
      <c r="G114" s="409"/>
      <c r="H114" s="409"/>
      <c r="I114" s="265" t="s">
        <v>133</v>
      </c>
      <c r="J114" s="266" t="s">
        <v>19</v>
      </c>
      <c r="K114" s="186">
        <v>1</v>
      </c>
      <c r="L114" s="208" t="s">
        <v>20</v>
      </c>
    </row>
    <row r="115" spans="1:13" s="2" customFormat="1" ht="39.950000000000003" customHeight="1" x14ac:dyDescent="0.2">
      <c r="A115" s="453"/>
      <c r="B115" s="425"/>
      <c r="C115" s="426"/>
      <c r="D115" s="454"/>
      <c r="E115" s="409"/>
      <c r="F115" s="409"/>
      <c r="G115" s="409"/>
      <c r="H115" s="409"/>
      <c r="I115" s="265" t="s">
        <v>134</v>
      </c>
      <c r="J115" s="266" t="s">
        <v>19</v>
      </c>
      <c r="K115" s="186">
        <v>1</v>
      </c>
      <c r="L115" s="208" t="s">
        <v>20</v>
      </c>
    </row>
    <row r="116" spans="1:13" s="2" customFormat="1" ht="39.950000000000003" customHeight="1" x14ac:dyDescent="0.2">
      <c r="A116" s="453"/>
      <c r="B116" s="425"/>
      <c r="C116" s="426"/>
      <c r="D116" s="454"/>
      <c r="E116" s="409"/>
      <c r="F116" s="409"/>
      <c r="G116" s="409"/>
      <c r="H116" s="409"/>
      <c r="I116" s="265" t="s">
        <v>157</v>
      </c>
      <c r="J116" s="266" t="s">
        <v>19</v>
      </c>
      <c r="K116" s="186">
        <v>1</v>
      </c>
      <c r="L116" s="208" t="s">
        <v>20</v>
      </c>
    </row>
    <row r="117" spans="1:13" s="2" customFormat="1" ht="39.950000000000003" customHeight="1" x14ac:dyDescent="0.25">
      <c r="A117" s="453"/>
      <c r="B117" s="425"/>
      <c r="C117" s="426"/>
      <c r="D117" s="454"/>
      <c r="E117" s="410"/>
      <c r="F117" s="410"/>
      <c r="G117" s="410"/>
      <c r="H117" s="410"/>
      <c r="I117" s="265" t="s">
        <v>135</v>
      </c>
      <c r="J117" s="266" t="s">
        <v>19</v>
      </c>
      <c r="K117" s="186">
        <v>5</v>
      </c>
      <c r="L117" s="208" t="s">
        <v>20</v>
      </c>
      <c r="M117" s="176" t="s">
        <v>136</v>
      </c>
    </row>
    <row r="118" spans="1:13" s="3" customFormat="1" ht="39.950000000000003" customHeight="1" x14ac:dyDescent="0.3">
      <c r="A118" s="206">
        <f>45+1</f>
        <v>46</v>
      </c>
      <c r="B118" s="319" t="s">
        <v>148</v>
      </c>
      <c r="C118" s="208" t="s">
        <v>19</v>
      </c>
      <c r="D118" s="209">
        <v>3</v>
      </c>
      <c r="E118" s="210"/>
      <c r="F118" s="210"/>
      <c r="G118" s="210"/>
      <c r="H118" s="210"/>
      <c r="I118" s="211"/>
      <c r="J118" s="212"/>
      <c r="K118" s="213"/>
      <c r="L118" s="208" t="s">
        <v>20</v>
      </c>
    </row>
    <row r="119" spans="1:13" s="3" customFormat="1" ht="39.950000000000003" customHeight="1" x14ac:dyDescent="0.2">
      <c r="A119" s="430">
        <f>46+1</f>
        <v>47</v>
      </c>
      <c r="B119" s="414" t="s">
        <v>111</v>
      </c>
      <c r="C119" s="435" t="s">
        <v>0</v>
      </c>
      <c r="D119" s="438">
        <v>1</v>
      </c>
      <c r="E119" s="397"/>
      <c r="F119" s="397"/>
      <c r="G119" s="397"/>
      <c r="H119" s="397"/>
      <c r="I119" s="261" t="s">
        <v>144</v>
      </c>
      <c r="J119" s="229" t="s">
        <v>0</v>
      </c>
      <c r="K119" s="213">
        <v>1</v>
      </c>
      <c r="L119" s="252" t="s">
        <v>20</v>
      </c>
    </row>
    <row r="120" spans="1:13" s="3" customFormat="1" ht="39.950000000000003" customHeight="1" x14ac:dyDescent="0.2">
      <c r="A120" s="431"/>
      <c r="B120" s="433"/>
      <c r="C120" s="436"/>
      <c r="D120" s="439"/>
      <c r="E120" s="398"/>
      <c r="F120" s="398"/>
      <c r="G120" s="398"/>
      <c r="H120" s="398"/>
      <c r="I120" s="261" t="s">
        <v>32</v>
      </c>
      <c r="J120" s="229" t="s">
        <v>33</v>
      </c>
      <c r="K120" s="213">
        <v>8</v>
      </c>
      <c r="L120" s="252" t="s">
        <v>20</v>
      </c>
    </row>
    <row r="121" spans="1:13" s="3" customFormat="1" ht="39.950000000000003" customHeight="1" x14ac:dyDescent="0.2">
      <c r="A121" s="431"/>
      <c r="B121" s="433"/>
      <c r="C121" s="436"/>
      <c r="D121" s="439"/>
      <c r="E121" s="398"/>
      <c r="F121" s="398"/>
      <c r="G121" s="398"/>
      <c r="H121" s="398"/>
      <c r="I121" s="261" t="s">
        <v>27</v>
      </c>
      <c r="J121" s="229" t="s">
        <v>19</v>
      </c>
      <c r="K121" s="213">
        <v>8</v>
      </c>
      <c r="L121" s="252" t="s">
        <v>20</v>
      </c>
    </row>
    <row r="122" spans="1:13" s="3" customFormat="1" ht="39.950000000000003" customHeight="1" x14ac:dyDescent="0.2">
      <c r="A122" s="431"/>
      <c r="B122" s="433"/>
      <c r="C122" s="436"/>
      <c r="D122" s="439"/>
      <c r="E122" s="398"/>
      <c r="F122" s="398"/>
      <c r="G122" s="398"/>
      <c r="H122" s="398"/>
      <c r="I122" s="251" t="s">
        <v>31</v>
      </c>
      <c r="J122" s="212" t="s">
        <v>19</v>
      </c>
      <c r="K122" s="259">
        <v>8</v>
      </c>
      <c r="L122" s="252" t="s">
        <v>20</v>
      </c>
    </row>
    <row r="123" spans="1:13" s="3" customFormat="1" ht="39.950000000000003" customHeight="1" x14ac:dyDescent="0.2">
      <c r="A123" s="431"/>
      <c r="B123" s="433"/>
      <c r="C123" s="436"/>
      <c r="D123" s="439"/>
      <c r="E123" s="398"/>
      <c r="F123" s="398"/>
      <c r="G123" s="398"/>
      <c r="H123" s="398"/>
      <c r="I123" s="260" t="s">
        <v>34</v>
      </c>
      <c r="J123" s="212" t="s">
        <v>33</v>
      </c>
      <c r="K123" s="259">
        <v>8</v>
      </c>
      <c r="L123" s="252" t="s">
        <v>20</v>
      </c>
    </row>
    <row r="124" spans="1:13" s="109" customFormat="1" ht="39.950000000000003" customHeight="1" x14ac:dyDescent="0.2">
      <c r="A124" s="432"/>
      <c r="B124" s="434"/>
      <c r="C124" s="437"/>
      <c r="D124" s="440"/>
      <c r="E124" s="399"/>
      <c r="F124" s="399"/>
      <c r="G124" s="399"/>
      <c r="H124" s="399"/>
      <c r="I124" s="251" t="s">
        <v>35</v>
      </c>
      <c r="J124" s="212" t="s">
        <v>19</v>
      </c>
      <c r="K124" s="259">
        <v>8</v>
      </c>
      <c r="L124" s="252" t="s">
        <v>20</v>
      </c>
    </row>
    <row r="125" spans="1:13" s="109" customFormat="1" ht="39.950000000000003" customHeight="1" x14ac:dyDescent="0.2">
      <c r="A125" s="423">
        <f>48+1</f>
        <v>49</v>
      </c>
      <c r="B125" s="424" t="s">
        <v>143</v>
      </c>
      <c r="C125" s="426" t="s">
        <v>0</v>
      </c>
      <c r="D125" s="427">
        <v>25.2</v>
      </c>
      <c r="E125" s="397"/>
      <c r="F125" s="402"/>
      <c r="G125" s="402"/>
      <c r="H125" s="402"/>
      <c r="I125" s="226" t="s">
        <v>114</v>
      </c>
      <c r="J125" s="196" t="s">
        <v>115</v>
      </c>
      <c r="K125" s="223">
        <v>1</v>
      </c>
      <c r="L125" s="227" t="s">
        <v>20</v>
      </c>
    </row>
    <row r="126" spans="1:13" s="109" customFormat="1" ht="39.950000000000003" customHeight="1" x14ac:dyDescent="0.2">
      <c r="A126" s="423"/>
      <c r="B126" s="425"/>
      <c r="C126" s="426"/>
      <c r="D126" s="427"/>
      <c r="E126" s="398"/>
      <c r="F126" s="403"/>
      <c r="G126" s="403"/>
      <c r="H126" s="403"/>
      <c r="I126" s="251" t="s">
        <v>25</v>
      </c>
      <c r="J126" s="212" t="s">
        <v>0</v>
      </c>
      <c r="K126" s="213">
        <v>25.2</v>
      </c>
      <c r="L126" s="252" t="s">
        <v>20</v>
      </c>
    </row>
    <row r="127" spans="1:13" s="109" customFormat="1" ht="39.950000000000003" customHeight="1" x14ac:dyDescent="0.2">
      <c r="A127" s="423"/>
      <c r="B127" s="425"/>
      <c r="C127" s="426"/>
      <c r="D127" s="427"/>
      <c r="E127" s="399"/>
      <c r="F127" s="404"/>
      <c r="G127" s="404"/>
      <c r="H127" s="404"/>
      <c r="I127" s="207" t="s">
        <v>66</v>
      </c>
      <c r="J127" s="212" t="s">
        <v>19</v>
      </c>
      <c r="K127" s="213">
        <v>25.2</v>
      </c>
      <c r="L127" s="208" t="s">
        <v>20</v>
      </c>
    </row>
    <row r="128" spans="1:13" s="109" customFormat="1" ht="39.950000000000003" customHeight="1" x14ac:dyDescent="0.2">
      <c r="A128" s="263">
        <f>49+1</f>
        <v>50</v>
      </c>
      <c r="B128" s="267" t="s">
        <v>141</v>
      </c>
      <c r="C128" s="238" t="s">
        <v>0</v>
      </c>
      <c r="D128" s="268">
        <v>4</v>
      </c>
      <c r="E128" s="239"/>
      <c r="F128" s="239"/>
      <c r="G128" s="239"/>
      <c r="H128" s="239"/>
      <c r="I128" s="236" t="s">
        <v>25</v>
      </c>
      <c r="J128" s="237" t="s">
        <v>0</v>
      </c>
      <c r="K128" s="223">
        <v>4</v>
      </c>
      <c r="L128" s="208" t="s">
        <v>20</v>
      </c>
    </row>
    <row r="129" spans="1:12" s="109" customFormat="1" ht="39.950000000000003" customHeight="1" x14ac:dyDescent="0.2">
      <c r="A129" s="269">
        <f>50+1</f>
        <v>51</v>
      </c>
      <c r="B129" s="201" t="s">
        <v>139</v>
      </c>
      <c r="C129" s="224" t="s">
        <v>19</v>
      </c>
      <c r="D129" s="270">
        <v>1</v>
      </c>
      <c r="E129" s="271"/>
      <c r="F129" s="271"/>
      <c r="G129" s="271"/>
      <c r="H129" s="271"/>
      <c r="I129" s="198" t="s">
        <v>137</v>
      </c>
      <c r="J129" s="196" t="s">
        <v>19</v>
      </c>
      <c r="K129" s="223">
        <v>1</v>
      </c>
      <c r="L129" s="224" t="s">
        <v>20</v>
      </c>
    </row>
    <row r="130" spans="1:12" s="2" customFormat="1" ht="26.25" customHeight="1" x14ac:dyDescent="0.2">
      <c r="A130" s="430">
        <f>51+1</f>
        <v>52</v>
      </c>
      <c r="B130" s="445" t="s">
        <v>149</v>
      </c>
      <c r="C130" s="352" t="s">
        <v>19</v>
      </c>
      <c r="D130" s="355">
        <v>1</v>
      </c>
      <c r="E130" s="334"/>
      <c r="F130" s="334"/>
      <c r="G130" s="334"/>
      <c r="H130" s="334"/>
      <c r="I130" s="325" t="s">
        <v>109</v>
      </c>
      <c r="J130" s="325" t="s">
        <v>19</v>
      </c>
      <c r="K130" s="223">
        <v>1</v>
      </c>
      <c r="L130" s="325" t="s">
        <v>105</v>
      </c>
    </row>
    <row r="131" spans="1:12" s="2" customFormat="1" ht="28.5" customHeight="1" x14ac:dyDescent="0.2">
      <c r="A131" s="431"/>
      <c r="B131" s="415"/>
      <c r="C131" s="353"/>
      <c r="D131" s="356"/>
      <c r="E131" s="334"/>
      <c r="F131" s="334"/>
      <c r="G131" s="334"/>
      <c r="H131" s="334"/>
      <c r="I131" s="325" t="s">
        <v>92</v>
      </c>
      <c r="J131" s="325" t="s">
        <v>19</v>
      </c>
      <c r="K131" s="223">
        <v>4</v>
      </c>
      <c r="L131" s="336" t="s">
        <v>108</v>
      </c>
    </row>
    <row r="132" spans="1:12" s="2" customFormat="1" ht="42" customHeight="1" x14ac:dyDescent="0.2">
      <c r="A132" s="431"/>
      <c r="B132" s="415"/>
      <c r="C132" s="353"/>
      <c r="D132" s="356"/>
      <c r="E132" s="334"/>
      <c r="F132" s="334"/>
      <c r="G132" s="334"/>
      <c r="H132" s="334"/>
      <c r="I132" s="325" t="s">
        <v>93</v>
      </c>
      <c r="J132" s="325" t="s">
        <v>19</v>
      </c>
      <c r="K132" s="223">
        <v>2</v>
      </c>
      <c r="L132" s="325" t="s">
        <v>108</v>
      </c>
    </row>
    <row r="133" spans="1:12" s="2" customFormat="1" ht="47.25" customHeight="1" x14ac:dyDescent="0.2">
      <c r="A133" s="431"/>
      <c r="B133" s="415"/>
      <c r="C133" s="353"/>
      <c r="D133" s="356"/>
      <c r="E133" s="334"/>
      <c r="F133" s="334"/>
      <c r="G133" s="334"/>
      <c r="H133" s="334"/>
      <c r="I133" s="325" t="s">
        <v>94</v>
      </c>
      <c r="J133" s="325" t="s">
        <v>19</v>
      </c>
      <c r="K133" s="223">
        <v>99</v>
      </c>
      <c r="L133" s="325" t="s">
        <v>20</v>
      </c>
    </row>
    <row r="134" spans="1:12" s="2" customFormat="1" ht="37.5" x14ac:dyDescent="0.2">
      <c r="A134" s="431"/>
      <c r="B134" s="415"/>
      <c r="C134" s="353"/>
      <c r="D134" s="356"/>
      <c r="E134" s="334"/>
      <c r="F134" s="334"/>
      <c r="G134" s="334"/>
      <c r="H134" s="334"/>
      <c r="I134" s="325" t="s">
        <v>95</v>
      </c>
      <c r="J134" s="325" t="s">
        <v>19</v>
      </c>
      <c r="K134" s="223">
        <v>1</v>
      </c>
      <c r="L134" s="325" t="s">
        <v>108</v>
      </c>
    </row>
    <row r="135" spans="1:12" s="2" customFormat="1" ht="37.5" x14ac:dyDescent="0.2">
      <c r="A135" s="431"/>
      <c r="B135" s="415"/>
      <c r="C135" s="353"/>
      <c r="D135" s="356"/>
      <c r="E135" s="334"/>
      <c r="F135" s="334"/>
      <c r="G135" s="334"/>
      <c r="H135" s="334"/>
      <c r="I135" s="325" t="s">
        <v>96</v>
      </c>
      <c r="J135" s="325" t="s">
        <v>19</v>
      </c>
      <c r="K135" s="223">
        <v>1</v>
      </c>
      <c r="L135" s="325" t="s">
        <v>108</v>
      </c>
    </row>
    <row r="136" spans="1:12" s="2" customFormat="1" ht="56.25" x14ac:dyDescent="0.2">
      <c r="A136" s="431"/>
      <c r="B136" s="415"/>
      <c r="C136" s="353"/>
      <c r="D136" s="356"/>
      <c r="E136" s="334"/>
      <c r="F136" s="334"/>
      <c r="G136" s="334"/>
      <c r="H136" s="334"/>
      <c r="I136" s="325" t="s">
        <v>97</v>
      </c>
      <c r="J136" s="325" t="s">
        <v>19</v>
      </c>
      <c r="K136" s="223">
        <v>1</v>
      </c>
      <c r="L136" s="325" t="s">
        <v>20</v>
      </c>
    </row>
    <row r="137" spans="1:12" s="2" customFormat="1" ht="30" customHeight="1" x14ac:dyDescent="0.2">
      <c r="A137" s="431"/>
      <c r="B137" s="415"/>
      <c r="C137" s="353"/>
      <c r="D137" s="356"/>
      <c r="E137" s="334"/>
      <c r="F137" s="334"/>
      <c r="G137" s="334"/>
      <c r="H137" s="334"/>
      <c r="I137" s="325" t="s">
        <v>102</v>
      </c>
      <c r="J137" s="325" t="s">
        <v>19</v>
      </c>
      <c r="K137" s="223">
        <v>1</v>
      </c>
      <c r="L137" s="336" t="s">
        <v>108</v>
      </c>
    </row>
    <row r="138" spans="1:12" s="2" customFormat="1" ht="37.5" x14ac:dyDescent="0.2">
      <c r="A138" s="432"/>
      <c r="B138" s="415"/>
      <c r="C138" s="353"/>
      <c r="D138" s="356"/>
      <c r="E138" s="334"/>
      <c r="F138" s="334"/>
      <c r="G138" s="334"/>
      <c r="H138" s="334"/>
      <c r="I138" s="325" t="s">
        <v>98</v>
      </c>
      <c r="J138" s="325" t="s">
        <v>19</v>
      </c>
      <c r="K138" s="223">
        <v>1</v>
      </c>
      <c r="L138" s="336" t="s">
        <v>108</v>
      </c>
    </row>
    <row r="139" spans="1:12" s="3" customFormat="1" ht="39.950000000000003" customHeight="1" x14ac:dyDescent="0.3">
      <c r="A139" s="187"/>
      <c r="B139" s="240" t="s">
        <v>74</v>
      </c>
      <c r="C139" s="189"/>
      <c r="D139" s="190"/>
      <c r="E139" s="189"/>
      <c r="F139" s="189"/>
      <c r="G139" s="189"/>
      <c r="H139" s="189"/>
      <c r="I139" s="189"/>
      <c r="J139" s="189"/>
      <c r="K139" s="205"/>
      <c r="L139" s="189"/>
    </row>
    <row r="140" spans="1:12" s="3" customFormat="1" ht="39.950000000000003" customHeight="1" x14ac:dyDescent="0.3">
      <c r="A140" s="206">
        <f>52+1</f>
        <v>53</v>
      </c>
      <c r="B140" s="319" t="s">
        <v>148</v>
      </c>
      <c r="C140" s="208" t="s">
        <v>19</v>
      </c>
      <c r="D140" s="209">
        <v>2</v>
      </c>
      <c r="E140" s="210"/>
      <c r="F140" s="210"/>
      <c r="G140" s="210"/>
      <c r="H140" s="210"/>
      <c r="I140" s="211"/>
      <c r="J140" s="212"/>
      <c r="K140" s="213"/>
      <c r="L140" s="208" t="s">
        <v>20</v>
      </c>
    </row>
    <row r="141" spans="1:12" s="3" customFormat="1" ht="39.950000000000003" customHeight="1" x14ac:dyDescent="0.2">
      <c r="A141" s="411">
        <f>53+1</f>
        <v>54</v>
      </c>
      <c r="B141" s="445" t="s">
        <v>50</v>
      </c>
      <c r="C141" s="417" t="s">
        <v>0</v>
      </c>
      <c r="D141" s="446">
        <v>10</v>
      </c>
      <c r="E141" s="405"/>
      <c r="F141" s="405"/>
      <c r="G141" s="405"/>
      <c r="H141" s="405"/>
      <c r="I141" s="211" t="s">
        <v>51</v>
      </c>
      <c r="J141" s="212" t="s">
        <v>0</v>
      </c>
      <c r="K141" s="213">
        <v>10</v>
      </c>
      <c r="L141" s="208" t="s">
        <v>20</v>
      </c>
    </row>
    <row r="142" spans="1:12" s="3" customFormat="1" ht="39.950000000000003" customHeight="1" x14ac:dyDescent="0.2">
      <c r="A142" s="412"/>
      <c r="B142" s="415"/>
      <c r="C142" s="418"/>
      <c r="D142" s="448"/>
      <c r="E142" s="406"/>
      <c r="F142" s="406"/>
      <c r="G142" s="406"/>
      <c r="H142" s="406"/>
      <c r="I142" s="211" t="s">
        <v>71</v>
      </c>
      <c r="J142" s="212" t="s">
        <v>19</v>
      </c>
      <c r="K142" s="213">
        <v>1</v>
      </c>
      <c r="L142" s="208" t="s">
        <v>20</v>
      </c>
    </row>
    <row r="143" spans="1:12" s="3" customFormat="1" ht="39.950000000000003" customHeight="1" x14ac:dyDescent="0.2">
      <c r="A143" s="412"/>
      <c r="B143" s="415"/>
      <c r="C143" s="418"/>
      <c r="D143" s="448"/>
      <c r="E143" s="406"/>
      <c r="F143" s="406"/>
      <c r="G143" s="406"/>
      <c r="H143" s="406"/>
      <c r="I143" s="211" t="s">
        <v>119</v>
      </c>
      <c r="J143" s="212" t="s">
        <v>19</v>
      </c>
      <c r="K143" s="213">
        <v>2</v>
      </c>
      <c r="L143" s="208" t="s">
        <v>20</v>
      </c>
    </row>
    <row r="144" spans="1:12" s="3" customFormat="1" ht="39.950000000000003" customHeight="1" x14ac:dyDescent="0.2">
      <c r="A144" s="413"/>
      <c r="B144" s="416"/>
      <c r="C144" s="419"/>
      <c r="D144" s="447"/>
      <c r="E144" s="407"/>
      <c r="F144" s="407"/>
      <c r="G144" s="407"/>
      <c r="H144" s="407"/>
      <c r="I144" s="211" t="s">
        <v>57</v>
      </c>
      <c r="J144" s="212" t="s">
        <v>19</v>
      </c>
      <c r="K144" s="213">
        <v>2</v>
      </c>
      <c r="L144" s="208" t="s">
        <v>20</v>
      </c>
    </row>
    <row r="145" spans="1:12" s="3" customFormat="1" ht="39.950000000000003" customHeight="1" x14ac:dyDescent="0.3">
      <c r="A145" s="254">
        <f>53+1+1</f>
        <v>55</v>
      </c>
      <c r="B145" s="215" t="s">
        <v>69</v>
      </c>
      <c r="C145" s="216" t="s">
        <v>19</v>
      </c>
      <c r="D145" s="217">
        <v>1</v>
      </c>
      <c r="E145" s="248"/>
      <c r="F145" s="248"/>
      <c r="G145" s="248"/>
      <c r="H145" s="248"/>
      <c r="I145" s="211" t="s">
        <v>70</v>
      </c>
      <c r="J145" s="212" t="s">
        <v>19</v>
      </c>
      <c r="K145" s="213">
        <v>1</v>
      </c>
      <c r="L145" s="208" t="s">
        <v>20</v>
      </c>
    </row>
    <row r="146" spans="1:12" s="3" customFormat="1" ht="39.950000000000003" customHeight="1" x14ac:dyDescent="0.2">
      <c r="A146" s="245">
        <f>54+1+1</f>
        <v>56</v>
      </c>
      <c r="B146" s="218" t="s">
        <v>21</v>
      </c>
      <c r="C146" s="219" t="s">
        <v>0</v>
      </c>
      <c r="D146" s="220">
        <v>29</v>
      </c>
      <c r="E146" s="221"/>
      <c r="F146" s="221"/>
      <c r="G146" s="221"/>
      <c r="H146" s="221"/>
      <c r="I146" s="207" t="s">
        <v>22</v>
      </c>
      <c r="J146" s="212" t="s">
        <v>0</v>
      </c>
      <c r="K146" s="213">
        <v>29</v>
      </c>
      <c r="L146" s="208" t="s">
        <v>20</v>
      </c>
    </row>
    <row r="147" spans="1:12" s="3" customFormat="1" ht="39.950000000000003" customHeight="1" x14ac:dyDescent="0.2">
      <c r="A147" s="411">
        <f>55+1+1</f>
        <v>57</v>
      </c>
      <c r="B147" s="445" t="s">
        <v>23</v>
      </c>
      <c r="C147" s="219"/>
      <c r="D147" s="220"/>
      <c r="E147" s="221"/>
      <c r="F147" s="221"/>
      <c r="G147" s="221"/>
      <c r="H147" s="221"/>
      <c r="I147" s="207" t="s">
        <v>114</v>
      </c>
      <c r="J147" s="212" t="s">
        <v>115</v>
      </c>
      <c r="K147" s="213">
        <v>1</v>
      </c>
      <c r="L147" s="208" t="s">
        <v>20</v>
      </c>
    </row>
    <row r="148" spans="1:12" s="3" customFormat="1" ht="39.950000000000003" customHeight="1" x14ac:dyDescent="0.2">
      <c r="A148" s="413"/>
      <c r="B148" s="416"/>
      <c r="C148" s="219" t="s">
        <v>0</v>
      </c>
      <c r="D148" s="220">
        <v>15.5</v>
      </c>
      <c r="E148" s="222"/>
      <c r="F148" s="222"/>
      <c r="G148" s="222"/>
      <c r="H148" s="222"/>
      <c r="I148" s="207" t="s">
        <v>22</v>
      </c>
      <c r="J148" s="212" t="s">
        <v>0</v>
      </c>
      <c r="K148" s="213">
        <v>15.5</v>
      </c>
      <c r="L148" s="208" t="s">
        <v>20</v>
      </c>
    </row>
    <row r="149" spans="1:12" s="3" customFormat="1" ht="39.950000000000003" customHeight="1" x14ac:dyDescent="0.2">
      <c r="A149" s="430">
        <f>56+1+1</f>
        <v>58</v>
      </c>
      <c r="B149" s="414" t="s">
        <v>24</v>
      </c>
      <c r="C149" s="435" t="s">
        <v>19</v>
      </c>
      <c r="D149" s="438">
        <v>1</v>
      </c>
      <c r="E149" s="397"/>
      <c r="F149" s="397"/>
      <c r="G149" s="397"/>
      <c r="H149" s="397"/>
      <c r="I149" s="198" t="s">
        <v>127</v>
      </c>
      <c r="J149" s="196" t="s">
        <v>19</v>
      </c>
      <c r="K149" s="223">
        <v>1</v>
      </c>
      <c r="L149" s="224" t="s">
        <v>20</v>
      </c>
    </row>
    <row r="150" spans="1:12" s="3" customFormat="1" ht="39.950000000000003" customHeight="1" x14ac:dyDescent="0.2">
      <c r="A150" s="431"/>
      <c r="B150" s="433"/>
      <c r="C150" s="436"/>
      <c r="D150" s="439"/>
      <c r="E150" s="398"/>
      <c r="F150" s="398"/>
      <c r="G150" s="398"/>
      <c r="H150" s="398"/>
      <c r="I150" s="225" t="s">
        <v>126</v>
      </c>
      <c r="J150" s="196" t="s">
        <v>19</v>
      </c>
      <c r="K150" s="223">
        <v>1</v>
      </c>
      <c r="L150" s="224" t="s">
        <v>20</v>
      </c>
    </row>
    <row r="151" spans="1:12" s="3" customFormat="1" ht="39.950000000000003" customHeight="1" x14ac:dyDescent="0.2">
      <c r="A151" s="432"/>
      <c r="B151" s="434"/>
      <c r="C151" s="437"/>
      <c r="D151" s="440"/>
      <c r="E151" s="399"/>
      <c r="F151" s="399"/>
      <c r="G151" s="399"/>
      <c r="H151" s="399"/>
      <c r="I151" s="225" t="s">
        <v>128</v>
      </c>
      <c r="J151" s="196" t="s">
        <v>19</v>
      </c>
      <c r="K151" s="223">
        <v>2</v>
      </c>
      <c r="L151" s="224" t="s">
        <v>20</v>
      </c>
    </row>
    <row r="152" spans="1:12" s="3" customFormat="1" ht="39.950000000000003" customHeight="1" x14ac:dyDescent="0.3">
      <c r="A152" s="430">
        <f>57+1+1</f>
        <v>59</v>
      </c>
      <c r="B152" s="414" t="s">
        <v>55</v>
      </c>
      <c r="C152" s="435" t="s">
        <v>19</v>
      </c>
      <c r="D152" s="438">
        <v>1</v>
      </c>
      <c r="E152" s="228"/>
      <c r="F152" s="228"/>
      <c r="G152" s="228"/>
      <c r="H152" s="228"/>
      <c r="I152" s="198" t="s">
        <v>127</v>
      </c>
      <c r="J152" s="229" t="s">
        <v>19</v>
      </c>
      <c r="K152" s="213">
        <v>1</v>
      </c>
      <c r="L152" s="224" t="s">
        <v>20</v>
      </c>
    </row>
    <row r="153" spans="1:12" s="3" customFormat="1" ht="39.950000000000003" customHeight="1" x14ac:dyDescent="0.3">
      <c r="A153" s="431"/>
      <c r="B153" s="433"/>
      <c r="C153" s="436"/>
      <c r="D153" s="439"/>
      <c r="E153" s="230"/>
      <c r="F153" s="230"/>
      <c r="G153" s="230"/>
      <c r="H153" s="230"/>
      <c r="I153" s="225" t="s">
        <v>125</v>
      </c>
      <c r="J153" s="229" t="s">
        <v>19</v>
      </c>
      <c r="K153" s="213">
        <v>1</v>
      </c>
      <c r="L153" s="224" t="s">
        <v>20</v>
      </c>
    </row>
    <row r="154" spans="1:12" s="3" customFormat="1" ht="39.950000000000003" customHeight="1" x14ac:dyDescent="0.3">
      <c r="A154" s="432"/>
      <c r="B154" s="434"/>
      <c r="C154" s="437"/>
      <c r="D154" s="440"/>
      <c r="E154" s="231"/>
      <c r="F154" s="231"/>
      <c r="G154" s="231"/>
      <c r="H154" s="231"/>
      <c r="I154" s="225" t="s">
        <v>128</v>
      </c>
      <c r="J154" s="229" t="s">
        <v>19</v>
      </c>
      <c r="K154" s="213">
        <v>1</v>
      </c>
      <c r="L154" s="224" t="s">
        <v>20</v>
      </c>
    </row>
    <row r="155" spans="1:12" s="3" customFormat="1" ht="39.950000000000003" customHeight="1" x14ac:dyDescent="0.2">
      <c r="A155" s="423">
        <f>58+1+1</f>
        <v>60</v>
      </c>
      <c r="B155" s="424" t="s">
        <v>143</v>
      </c>
      <c r="C155" s="426" t="s">
        <v>0</v>
      </c>
      <c r="D155" s="427">
        <v>0.6</v>
      </c>
      <c r="E155" s="397"/>
      <c r="F155" s="397"/>
      <c r="G155" s="397"/>
      <c r="H155" s="397"/>
      <c r="I155" s="261" t="s">
        <v>114</v>
      </c>
      <c r="J155" s="229" t="s">
        <v>115</v>
      </c>
      <c r="K155" s="213">
        <v>1</v>
      </c>
      <c r="L155" s="224" t="s">
        <v>20</v>
      </c>
    </row>
    <row r="156" spans="1:12" s="3" customFormat="1" ht="39.950000000000003" customHeight="1" x14ac:dyDescent="0.2">
      <c r="A156" s="423"/>
      <c r="B156" s="425"/>
      <c r="C156" s="426"/>
      <c r="D156" s="427"/>
      <c r="E156" s="398"/>
      <c r="F156" s="398"/>
      <c r="G156" s="398"/>
      <c r="H156" s="398"/>
      <c r="I156" s="207" t="s">
        <v>25</v>
      </c>
      <c r="J156" s="212" t="s">
        <v>0</v>
      </c>
      <c r="K156" s="213">
        <v>0.6</v>
      </c>
      <c r="L156" s="208" t="s">
        <v>20</v>
      </c>
    </row>
    <row r="157" spans="1:12" s="3" customFormat="1" ht="39.950000000000003" customHeight="1" x14ac:dyDescent="0.2">
      <c r="A157" s="423"/>
      <c r="B157" s="425"/>
      <c r="C157" s="426"/>
      <c r="D157" s="427"/>
      <c r="E157" s="399"/>
      <c r="F157" s="399"/>
      <c r="G157" s="399"/>
      <c r="H157" s="399"/>
      <c r="I157" s="207" t="s">
        <v>66</v>
      </c>
      <c r="J157" s="212" t="s">
        <v>19</v>
      </c>
      <c r="K157" s="213">
        <v>0.6</v>
      </c>
      <c r="L157" s="208" t="s">
        <v>20</v>
      </c>
    </row>
    <row r="158" spans="1:12" s="3" customFormat="1" ht="39.950000000000003" customHeight="1" x14ac:dyDescent="0.2">
      <c r="A158" s="317">
        <f>59+1+1</f>
        <v>61</v>
      </c>
      <c r="B158" s="250" t="s">
        <v>141</v>
      </c>
      <c r="C158" s="320" t="s">
        <v>0</v>
      </c>
      <c r="D158" s="321">
        <v>10</v>
      </c>
      <c r="E158" s="256"/>
      <c r="F158" s="256"/>
      <c r="G158" s="256"/>
      <c r="H158" s="256"/>
      <c r="I158" s="319" t="s">
        <v>25</v>
      </c>
      <c r="J158" s="212" t="s">
        <v>0</v>
      </c>
      <c r="K158" s="213">
        <v>10</v>
      </c>
      <c r="L158" s="320" t="s">
        <v>20</v>
      </c>
    </row>
    <row r="159" spans="1:12" s="3" customFormat="1" ht="39.950000000000003" customHeight="1" x14ac:dyDescent="0.2">
      <c r="A159" s="423">
        <f>60+1+1</f>
        <v>62</v>
      </c>
      <c r="B159" s="445" t="s">
        <v>61</v>
      </c>
      <c r="C159" s="417" t="s">
        <v>19</v>
      </c>
      <c r="D159" s="420">
        <v>4</v>
      </c>
      <c r="E159" s="310"/>
      <c r="F159" s="310"/>
      <c r="G159" s="310"/>
      <c r="H159" s="310"/>
      <c r="I159" s="319" t="s">
        <v>62</v>
      </c>
      <c r="J159" s="212" t="s">
        <v>19</v>
      </c>
      <c r="K159" s="213">
        <v>4</v>
      </c>
      <c r="L159" s="320" t="s">
        <v>20</v>
      </c>
    </row>
    <row r="160" spans="1:12" ht="39.950000000000003" customHeight="1" x14ac:dyDescent="0.2">
      <c r="A160" s="423"/>
      <c r="B160" s="416"/>
      <c r="C160" s="419"/>
      <c r="D160" s="422"/>
      <c r="E160" s="311"/>
      <c r="F160" s="311"/>
      <c r="G160" s="311"/>
      <c r="H160" s="311"/>
      <c r="I160" s="316" t="s">
        <v>63</v>
      </c>
      <c r="J160" s="237" t="s">
        <v>19</v>
      </c>
      <c r="K160" s="223">
        <v>4</v>
      </c>
      <c r="L160" s="320" t="s">
        <v>20</v>
      </c>
    </row>
    <row r="161" spans="1:12" ht="39.950000000000003" customHeight="1" x14ac:dyDescent="0.3">
      <c r="A161" s="187"/>
      <c r="B161" s="253" t="s">
        <v>75</v>
      </c>
      <c r="C161" s="189"/>
      <c r="D161" s="190"/>
      <c r="E161" s="189"/>
      <c r="F161" s="189"/>
      <c r="G161" s="189"/>
      <c r="H161" s="189"/>
      <c r="I161" s="189"/>
      <c r="J161" s="189"/>
      <c r="K161" s="205"/>
      <c r="L161" s="189"/>
    </row>
    <row r="162" spans="1:12" ht="39.950000000000003" customHeight="1" x14ac:dyDescent="0.3">
      <c r="A162" s="206">
        <f>61+1+1</f>
        <v>63</v>
      </c>
      <c r="B162" s="319" t="s">
        <v>148</v>
      </c>
      <c r="C162" s="208" t="s">
        <v>19</v>
      </c>
      <c r="D162" s="209">
        <v>2</v>
      </c>
      <c r="E162" s="210"/>
      <c r="F162" s="210"/>
      <c r="G162" s="210"/>
      <c r="H162" s="210"/>
      <c r="I162" s="211"/>
      <c r="J162" s="212"/>
      <c r="K162" s="213"/>
      <c r="L162" s="208" t="s">
        <v>20</v>
      </c>
    </row>
    <row r="163" spans="1:12" ht="39.950000000000003" customHeight="1" x14ac:dyDescent="0.2">
      <c r="A163" s="411">
        <f>62+1+1</f>
        <v>64</v>
      </c>
      <c r="B163" s="445" t="s">
        <v>50</v>
      </c>
      <c r="C163" s="417" t="s">
        <v>0</v>
      </c>
      <c r="D163" s="446">
        <v>4</v>
      </c>
      <c r="E163" s="405"/>
      <c r="F163" s="405"/>
      <c r="G163" s="405"/>
      <c r="H163" s="405"/>
      <c r="I163" s="211" t="s">
        <v>51</v>
      </c>
      <c r="J163" s="212" t="s">
        <v>0</v>
      </c>
      <c r="K163" s="213">
        <v>4</v>
      </c>
      <c r="L163" s="208" t="s">
        <v>20</v>
      </c>
    </row>
    <row r="164" spans="1:12" ht="39.950000000000003" customHeight="1" x14ac:dyDescent="0.2">
      <c r="A164" s="412"/>
      <c r="B164" s="415"/>
      <c r="C164" s="418"/>
      <c r="D164" s="448"/>
      <c r="E164" s="406"/>
      <c r="F164" s="406"/>
      <c r="G164" s="406"/>
      <c r="H164" s="406"/>
      <c r="I164" s="211" t="s">
        <v>56</v>
      </c>
      <c r="J164" s="212" t="s">
        <v>19</v>
      </c>
      <c r="K164" s="213">
        <v>1</v>
      </c>
      <c r="L164" s="208" t="s">
        <v>20</v>
      </c>
    </row>
    <row r="165" spans="1:12" ht="39.950000000000003" customHeight="1" x14ac:dyDescent="0.2">
      <c r="A165" s="413"/>
      <c r="B165" s="416"/>
      <c r="C165" s="419"/>
      <c r="D165" s="447"/>
      <c r="E165" s="407"/>
      <c r="F165" s="407"/>
      <c r="G165" s="407"/>
      <c r="H165" s="407"/>
      <c r="I165" s="211" t="s">
        <v>57</v>
      </c>
      <c r="J165" s="212" t="s">
        <v>19</v>
      </c>
      <c r="K165" s="213">
        <v>1</v>
      </c>
      <c r="L165" s="208" t="s">
        <v>20</v>
      </c>
    </row>
    <row r="166" spans="1:12" ht="39.950000000000003" customHeight="1" x14ac:dyDescent="0.3">
      <c r="A166" s="254">
        <f>63+1+1</f>
        <v>65</v>
      </c>
      <c r="B166" s="215" t="s">
        <v>69</v>
      </c>
      <c r="C166" s="216" t="s">
        <v>19</v>
      </c>
      <c r="D166" s="217">
        <v>1</v>
      </c>
      <c r="E166" s="248"/>
      <c r="F166" s="248"/>
      <c r="G166" s="248"/>
      <c r="H166" s="248"/>
      <c r="I166" s="211" t="s">
        <v>70</v>
      </c>
      <c r="J166" s="212" t="s">
        <v>19</v>
      </c>
      <c r="K166" s="213">
        <v>1</v>
      </c>
      <c r="L166" s="208" t="s">
        <v>20</v>
      </c>
    </row>
    <row r="167" spans="1:12" ht="39.950000000000003" customHeight="1" x14ac:dyDescent="0.2">
      <c r="A167" s="245">
        <v>66</v>
      </c>
      <c r="B167" s="218" t="s">
        <v>21</v>
      </c>
      <c r="C167" s="219" t="s">
        <v>0</v>
      </c>
      <c r="D167" s="220">
        <v>65.7</v>
      </c>
      <c r="E167" s="221"/>
      <c r="F167" s="221"/>
      <c r="G167" s="221"/>
      <c r="H167" s="221"/>
      <c r="I167" s="207" t="s">
        <v>22</v>
      </c>
      <c r="J167" s="212" t="s">
        <v>0</v>
      </c>
      <c r="K167" s="213">
        <v>65.7</v>
      </c>
      <c r="L167" s="208" t="s">
        <v>20</v>
      </c>
    </row>
    <row r="168" spans="1:12" ht="39.950000000000003" customHeight="1" x14ac:dyDescent="0.2">
      <c r="A168" s="423">
        <v>67</v>
      </c>
      <c r="B168" s="425" t="s">
        <v>23</v>
      </c>
      <c r="C168" s="426" t="s">
        <v>0</v>
      </c>
      <c r="D168" s="427">
        <v>46</v>
      </c>
      <c r="E168" s="400"/>
      <c r="F168" s="400"/>
      <c r="G168" s="400"/>
      <c r="H168" s="400"/>
      <c r="I168" s="207" t="s">
        <v>114</v>
      </c>
      <c r="J168" s="212" t="s">
        <v>115</v>
      </c>
      <c r="K168" s="213">
        <v>1</v>
      </c>
      <c r="L168" s="208" t="s">
        <v>20</v>
      </c>
    </row>
    <row r="169" spans="1:12" ht="39.950000000000003" customHeight="1" x14ac:dyDescent="0.2">
      <c r="A169" s="423"/>
      <c r="B169" s="425"/>
      <c r="C169" s="426"/>
      <c r="D169" s="427"/>
      <c r="E169" s="401"/>
      <c r="F169" s="401"/>
      <c r="G169" s="401"/>
      <c r="H169" s="401"/>
      <c r="I169" s="207" t="s">
        <v>22</v>
      </c>
      <c r="J169" s="212" t="s">
        <v>0</v>
      </c>
      <c r="K169" s="213">
        <v>46</v>
      </c>
      <c r="L169" s="208" t="s">
        <v>20</v>
      </c>
    </row>
    <row r="170" spans="1:12" s="174" customFormat="1" ht="39.950000000000003" customHeight="1" x14ac:dyDescent="0.2">
      <c r="A170" s="430">
        <v>68</v>
      </c>
      <c r="B170" s="414" t="s">
        <v>24</v>
      </c>
      <c r="C170" s="435" t="s">
        <v>19</v>
      </c>
      <c r="D170" s="438">
        <v>2</v>
      </c>
      <c r="E170" s="397"/>
      <c r="F170" s="397"/>
      <c r="G170" s="397"/>
      <c r="H170" s="397"/>
      <c r="I170" s="198" t="s">
        <v>127</v>
      </c>
      <c r="J170" s="196" t="s">
        <v>19</v>
      </c>
      <c r="K170" s="223">
        <v>2</v>
      </c>
      <c r="L170" s="224" t="s">
        <v>20</v>
      </c>
    </row>
    <row r="171" spans="1:12" s="174" customFormat="1" ht="39.950000000000003" customHeight="1" x14ac:dyDescent="0.2">
      <c r="A171" s="430"/>
      <c r="B171" s="414"/>
      <c r="C171" s="435"/>
      <c r="D171" s="438"/>
      <c r="E171" s="397"/>
      <c r="F171" s="397"/>
      <c r="G171" s="397"/>
      <c r="H171" s="397"/>
      <c r="I171" s="225" t="s">
        <v>126</v>
      </c>
      <c r="J171" s="196" t="s">
        <v>19</v>
      </c>
      <c r="K171" s="223">
        <v>2</v>
      </c>
      <c r="L171" s="224" t="s">
        <v>20</v>
      </c>
    </row>
    <row r="172" spans="1:12" s="174" customFormat="1" ht="39.950000000000003" customHeight="1" x14ac:dyDescent="0.2">
      <c r="A172" s="449"/>
      <c r="B172" s="424"/>
      <c r="C172" s="451"/>
      <c r="D172" s="452"/>
      <c r="E172" s="450"/>
      <c r="F172" s="450"/>
      <c r="G172" s="450"/>
      <c r="H172" s="450"/>
      <c r="I172" s="225" t="s">
        <v>128</v>
      </c>
      <c r="J172" s="196" t="s">
        <v>19</v>
      </c>
      <c r="K172" s="223">
        <v>4</v>
      </c>
      <c r="L172" s="224" t="s">
        <v>20</v>
      </c>
    </row>
    <row r="173" spans="1:12" s="174" customFormat="1" ht="39.950000000000003" customHeight="1" x14ac:dyDescent="0.2">
      <c r="A173" s="423">
        <v>69</v>
      </c>
      <c r="B173" s="424" t="s">
        <v>142</v>
      </c>
      <c r="C173" s="426" t="s">
        <v>0</v>
      </c>
      <c r="D173" s="427">
        <v>16.7</v>
      </c>
      <c r="E173" s="397"/>
      <c r="F173" s="397"/>
      <c r="G173" s="397"/>
      <c r="H173" s="397"/>
      <c r="I173" s="225" t="s">
        <v>114</v>
      </c>
      <c r="J173" s="196" t="s">
        <v>115</v>
      </c>
      <c r="K173" s="223">
        <v>1</v>
      </c>
      <c r="L173" s="224" t="s">
        <v>20</v>
      </c>
    </row>
    <row r="174" spans="1:12" ht="39.950000000000003" customHeight="1" x14ac:dyDescent="0.2">
      <c r="A174" s="423"/>
      <c r="B174" s="425"/>
      <c r="C174" s="426"/>
      <c r="D174" s="427"/>
      <c r="E174" s="398"/>
      <c r="F174" s="398"/>
      <c r="G174" s="398"/>
      <c r="H174" s="398"/>
      <c r="I174" s="207" t="s">
        <v>25</v>
      </c>
      <c r="J174" s="212" t="s">
        <v>0</v>
      </c>
      <c r="K174" s="213">
        <v>16.7</v>
      </c>
      <c r="L174" s="208" t="s">
        <v>20</v>
      </c>
    </row>
    <row r="175" spans="1:12" ht="39.950000000000003" customHeight="1" x14ac:dyDescent="0.2">
      <c r="A175" s="423"/>
      <c r="B175" s="425"/>
      <c r="C175" s="426"/>
      <c r="D175" s="427"/>
      <c r="E175" s="399"/>
      <c r="F175" s="399"/>
      <c r="G175" s="399"/>
      <c r="H175" s="399"/>
      <c r="I175" s="207" t="s">
        <v>66</v>
      </c>
      <c r="J175" s="212" t="s">
        <v>19</v>
      </c>
      <c r="K175" s="213">
        <v>16.7</v>
      </c>
      <c r="L175" s="208" t="s">
        <v>20</v>
      </c>
    </row>
    <row r="176" spans="1:12" ht="39.950000000000003" customHeight="1" x14ac:dyDescent="0.2">
      <c r="A176" s="254">
        <v>70</v>
      </c>
      <c r="B176" s="232" t="s">
        <v>141</v>
      </c>
      <c r="C176" s="216" t="s">
        <v>0</v>
      </c>
      <c r="D176" s="233">
        <v>6.1</v>
      </c>
      <c r="E176" s="239"/>
      <c r="F176" s="239"/>
      <c r="G176" s="239"/>
      <c r="H176" s="239"/>
      <c r="I176" s="236" t="s">
        <v>25</v>
      </c>
      <c r="J176" s="237" t="s">
        <v>0</v>
      </c>
      <c r="K176" s="223">
        <v>6.1</v>
      </c>
      <c r="L176" s="208" t="s">
        <v>20</v>
      </c>
    </row>
    <row r="177" spans="1:12" ht="39.950000000000003" customHeight="1" x14ac:dyDescent="0.2">
      <c r="A177" s="423">
        <v>72</v>
      </c>
      <c r="B177" s="425" t="s">
        <v>61</v>
      </c>
      <c r="C177" s="426" t="s">
        <v>19</v>
      </c>
      <c r="D177" s="427">
        <v>5</v>
      </c>
      <c r="E177" s="400"/>
      <c r="F177" s="400"/>
      <c r="G177" s="400"/>
      <c r="H177" s="400"/>
      <c r="I177" s="319" t="s">
        <v>62</v>
      </c>
      <c r="J177" s="212" t="s">
        <v>19</v>
      </c>
      <c r="K177" s="213">
        <v>5</v>
      </c>
      <c r="L177" s="320" t="s">
        <v>20</v>
      </c>
    </row>
    <row r="178" spans="1:12" ht="39.950000000000003" customHeight="1" x14ac:dyDescent="0.2">
      <c r="A178" s="423"/>
      <c r="B178" s="425"/>
      <c r="C178" s="426"/>
      <c r="D178" s="427"/>
      <c r="E178" s="401"/>
      <c r="F178" s="401"/>
      <c r="G178" s="401"/>
      <c r="H178" s="401"/>
      <c r="I178" s="316" t="s">
        <v>63</v>
      </c>
      <c r="J178" s="237" t="s">
        <v>19</v>
      </c>
      <c r="K178" s="223">
        <v>5</v>
      </c>
      <c r="L178" s="320" t="s">
        <v>20</v>
      </c>
    </row>
    <row r="179" spans="1:12" ht="39.950000000000003" customHeight="1" x14ac:dyDescent="0.3">
      <c r="A179" s="187"/>
      <c r="B179" s="253" t="s">
        <v>76</v>
      </c>
      <c r="C179" s="189"/>
      <c r="D179" s="190"/>
      <c r="E179" s="189"/>
      <c r="F179" s="189"/>
      <c r="G179" s="189"/>
      <c r="H179" s="189"/>
      <c r="I179" s="189"/>
      <c r="J179" s="189"/>
      <c r="K179" s="205"/>
      <c r="L179" s="189"/>
    </row>
    <row r="180" spans="1:12" ht="39.950000000000003" customHeight="1" x14ac:dyDescent="0.3">
      <c r="A180" s="206">
        <f>68+1+1+3</f>
        <v>73</v>
      </c>
      <c r="B180" s="319" t="s">
        <v>148</v>
      </c>
      <c r="C180" s="208" t="s">
        <v>19</v>
      </c>
      <c r="D180" s="209">
        <v>2</v>
      </c>
      <c r="E180" s="210"/>
      <c r="F180" s="210"/>
      <c r="G180" s="210"/>
      <c r="H180" s="210"/>
      <c r="I180" s="211"/>
      <c r="J180" s="212"/>
      <c r="K180" s="213"/>
      <c r="L180" s="208" t="s">
        <v>20</v>
      </c>
    </row>
    <row r="181" spans="1:12" ht="39.950000000000003" customHeight="1" x14ac:dyDescent="0.2">
      <c r="A181" s="411">
        <f>69+1+1+3</f>
        <v>74</v>
      </c>
      <c r="B181" s="445" t="s">
        <v>50</v>
      </c>
      <c r="C181" s="417" t="s">
        <v>0</v>
      </c>
      <c r="D181" s="446">
        <v>1</v>
      </c>
      <c r="E181" s="405"/>
      <c r="F181" s="405"/>
      <c r="G181" s="405"/>
      <c r="H181" s="405"/>
      <c r="I181" s="211" t="s">
        <v>51</v>
      </c>
      <c r="J181" s="212" t="s">
        <v>0</v>
      </c>
      <c r="K181" s="213">
        <v>1</v>
      </c>
      <c r="L181" s="208" t="s">
        <v>20</v>
      </c>
    </row>
    <row r="182" spans="1:12" ht="39.950000000000003" customHeight="1" x14ac:dyDescent="0.2">
      <c r="A182" s="413"/>
      <c r="B182" s="416"/>
      <c r="C182" s="419"/>
      <c r="D182" s="447"/>
      <c r="E182" s="407"/>
      <c r="F182" s="407"/>
      <c r="G182" s="407"/>
      <c r="H182" s="407"/>
      <c r="I182" s="211" t="s">
        <v>57</v>
      </c>
      <c r="J182" s="212" t="s">
        <v>19</v>
      </c>
      <c r="K182" s="213">
        <v>2</v>
      </c>
      <c r="L182" s="208" t="s">
        <v>20</v>
      </c>
    </row>
    <row r="183" spans="1:12" ht="39.950000000000003" customHeight="1" x14ac:dyDescent="0.3">
      <c r="A183" s="254">
        <f>70+1+1+3</f>
        <v>75</v>
      </c>
      <c r="B183" s="215" t="s">
        <v>69</v>
      </c>
      <c r="C183" s="216" t="s">
        <v>19</v>
      </c>
      <c r="D183" s="217">
        <v>1</v>
      </c>
      <c r="E183" s="248"/>
      <c r="F183" s="248"/>
      <c r="G183" s="248"/>
      <c r="H183" s="248"/>
      <c r="I183" s="211" t="s">
        <v>70</v>
      </c>
      <c r="J183" s="212" t="s">
        <v>19</v>
      </c>
      <c r="K183" s="213">
        <v>1</v>
      </c>
      <c r="L183" s="208" t="s">
        <v>20</v>
      </c>
    </row>
    <row r="184" spans="1:12" ht="39.950000000000003" customHeight="1" x14ac:dyDescent="0.2">
      <c r="A184" s="245">
        <f>71+1+1+3</f>
        <v>76</v>
      </c>
      <c r="B184" s="218" t="s">
        <v>21</v>
      </c>
      <c r="C184" s="219" t="s">
        <v>0</v>
      </c>
      <c r="D184" s="220">
        <v>38</v>
      </c>
      <c r="E184" s="221"/>
      <c r="F184" s="221"/>
      <c r="G184" s="221"/>
      <c r="H184" s="221"/>
      <c r="I184" s="207" t="s">
        <v>22</v>
      </c>
      <c r="J184" s="212" t="s">
        <v>0</v>
      </c>
      <c r="K184" s="213">
        <v>38</v>
      </c>
      <c r="L184" s="208" t="s">
        <v>20</v>
      </c>
    </row>
    <row r="185" spans="1:12" ht="39.950000000000003" customHeight="1" x14ac:dyDescent="0.2">
      <c r="A185" s="423">
        <f>72+1+1+3</f>
        <v>77</v>
      </c>
      <c r="B185" s="425" t="s">
        <v>23</v>
      </c>
      <c r="C185" s="426" t="s">
        <v>0</v>
      </c>
      <c r="D185" s="427">
        <v>24</v>
      </c>
      <c r="E185" s="400"/>
      <c r="F185" s="400"/>
      <c r="G185" s="400"/>
      <c r="H185" s="400"/>
      <c r="I185" s="207" t="s">
        <v>114</v>
      </c>
      <c r="J185" s="212" t="s">
        <v>115</v>
      </c>
      <c r="K185" s="213">
        <v>1</v>
      </c>
      <c r="L185" s="208" t="s">
        <v>20</v>
      </c>
    </row>
    <row r="186" spans="1:12" ht="39.950000000000003" customHeight="1" x14ac:dyDescent="0.2">
      <c r="A186" s="423"/>
      <c r="B186" s="425"/>
      <c r="C186" s="426"/>
      <c r="D186" s="427"/>
      <c r="E186" s="401"/>
      <c r="F186" s="401"/>
      <c r="G186" s="401"/>
      <c r="H186" s="401"/>
      <c r="I186" s="207" t="s">
        <v>22</v>
      </c>
      <c r="J186" s="212" t="s">
        <v>0</v>
      </c>
      <c r="K186" s="213">
        <v>24</v>
      </c>
      <c r="L186" s="208" t="s">
        <v>20</v>
      </c>
    </row>
    <row r="187" spans="1:12" s="3" customFormat="1" ht="39.950000000000003" customHeight="1" x14ac:dyDescent="0.2">
      <c r="A187" s="430">
        <f>73+1+1+3</f>
        <v>78</v>
      </c>
      <c r="B187" s="414" t="s">
        <v>24</v>
      </c>
      <c r="C187" s="435" t="s">
        <v>19</v>
      </c>
      <c r="D187" s="438">
        <v>1</v>
      </c>
      <c r="E187" s="397"/>
      <c r="F187" s="397"/>
      <c r="G187" s="397"/>
      <c r="H187" s="397"/>
      <c r="I187" s="198" t="s">
        <v>127</v>
      </c>
      <c r="J187" s="196" t="s">
        <v>19</v>
      </c>
      <c r="K187" s="223">
        <v>1</v>
      </c>
      <c r="L187" s="224" t="s">
        <v>20</v>
      </c>
    </row>
    <row r="188" spans="1:12" s="3" customFormat="1" ht="39.950000000000003" customHeight="1" x14ac:dyDescent="0.2">
      <c r="A188" s="431"/>
      <c r="B188" s="433"/>
      <c r="C188" s="436"/>
      <c r="D188" s="439"/>
      <c r="E188" s="398"/>
      <c r="F188" s="398"/>
      <c r="G188" s="398"/>
      <c r="H188" s="398"/>
      <c r="I188" s="225" t="s">
        <v>126</v>
      </c>
      <c r="J188" s="196" t="s">
        <v>19</v>
      </c>
      <c r="K188" s="223">
        <v>1</v>
      </c>
      <c r="L188" s="224" t="s">
        <v>20</v>
      </c>
    </row>
    <row r="189" spans="1:12" s="3" customFormat="1" ht="39.950000000000003" customHeight="1" x14ac:dyDescent="0.2">
      <c r="A189" s="432"/>
      <c r="B189" s="434"/>
      <c r="C189" s="437"/>
      <c r="D189" s="440"/>
      <c r="E189" s="399"/>
      <c r="F189" s="399"/>
      <c r="G189" s="399"/>
      <c r="H189" s="399"/>
      <c r="I189" s="225" t="s">
        <v>128</v>
      </c>
      <c r="J189" s="196" t="s">
        <v>19</v>
      </c>
      <c r="K189" s="223">
        <v>2</v>
      </c>
      <c r="L189" s="224" t="s">
        <v>20</v>
      </c>
    </row>
    <row r="190" spans="1:12" s="174" customFormat="1" ht="39.950000000000003" customHeight="1" x14ac:dyDescent="0.2">
      <c r="A190" s="423">
        <f>74+1+1+3</f>
        <v>79</v>
      </c>
      <c r="B190" s="424" t="s">
        <v>143</v>
      </c>
      <c r="C190" s="426" t="s">
        <v>0</v>
      </c>
      <c r="D190" s="427">
        <v>13</v>
      </c>
      <c r="E190" s="397"/>
      <c r="F190" s="397"/>
      <c r="G190" s="397"/>
      <c r="H190" s="397"/>
      <c r="I190" s="225" t="s">
        <v>114</v>
      </c>
      <c r="J190" s="196" t="s">
        <v>115</v>
      </c>
      <c r="K190" s="223">
        <v>1</v>
      </c>
      <c r="L190" s="224" t="s">
        <v>20</v>
      </c>
    </row>
    <row r="191" spans="1:12" ht="39.950000000000003" customHeight="1" x14ac:dyDescent="0.2">
      <c r="A191" s="423"/>
      <c r="B191" s="425"/>
      <c r="C191" s="426"/>
      <c r="D191" s="427"/>
      <c r="E191" s="398"/>
      <c r="F191" s="398"/>
      <c r="G191" s="398"/>
      <c r="H191" s="398"/>
      <c r="I191" s="207" t="s">
        <v>25</v>
      </c>
      <c r="J191" s="212" t="s">
        <v>0</v>
      </c>
      <c r="K191" s="213">
        <v>13</v>
      </c>
      <c r="L191" s="208" t="s">
        <v>20</v>
      </c>
    </row>
    <row r="192" spans="1:12" ht="39.950000000000003" customHeight="1" x14ac:dyDescent="0.2">
      <c r="A192" s="423"/>
      <c r="B192" s="425"/>
      <c r="C192" s="426"/>
      <c r="D192" s="427"/>
      <c r="E192" s="399"/>
      <c r="F192" s="399"/>
      <c r="G192" s="399"/>
      <c r="H192" s="399"/>
      <c r="I192" s="207" t="s">
        <v>66</v>
      </c>
      <c r="J192" s="212" t="s">
        <v>19</v>
      </c>
      <c r="K192" s="213">
        <v>13</v>
      </c>
      <c r="L192" s="208" t="s">
        <v>20</v>
      </c>
    </row>
    <row r="193" spans="1:12" ht="39.950000000000003" customHeight="1" x14ac:dyDescent="0.2">
      <c r="A193" s="317">
        <f>75+1+1+3</f>
        <v>80</v>
      </c>
      <c r="B193" s="250" t="s">
        <v>141</v>
      </c>
      <c r="C193" s="320" t="s">
        <v>0</v>
      </c>
      <c r="D193" s="321">
        <v>1</v>
      </c>
      <c r="E193" s="256"/>
      <c r="F193" s="256"/>
      <c r="G193" s="256"/>
      <c r="H193" s="256"/>
      <c r="I193" s="319" t="s">
        <v>25</v>
      </c>
      <c r="J193" s="212" t="s">
        <v>0</v>
      </c>
      <c r="K193" s="213">
        <v>1</v>
      </c>
      <c r="L193" s="320" t="s">
        <v>20</v>
      </c>
    </row>
    <row r="194" spans="1:12" ht="39.950000000000003" customHeight="1" x14ac:dyDescent="0.2">
      <c r="A194" s="411">
        <f>77+1+1+3</f>
        <v>82</v>
      </c>
      <c r="B194" s="445" t="s">
        <v>61</v>
      </c>
      <c r="C194" s="417" t="s">
        <v>19</v>
      </c>
      <c r="D194" s="420">
        <v>3</v>
      </c>
      <c r="E194" s="310"/>
      <c r="F194" s="310"/>
      <c r="G194" s="310"/>
      <c r="H194" s="310"/>
      <c r="I194" s="319" t="s">
        <v>62</v>
      </c>
      <c r="J194" s="212" t="s">
        <v>19</v>
      </c>
      <c r="K194" s="213">
        <v>3</v>
      </c>
      <c r="L194" s="320" t="s">
        <v>20</v>
      </c>
    </row>
    <row r="195" spans="1:12" ht="39.950000000000003" customHeight="1" x14ac:dyDescent="0.2">
      <c r="A195" s="413"/>
      <c r="B195" s="416"/>
      <c r="C195" s="419"/>
      <c r="D195" s="422"/>
      <c r="E195" s="311"/>
      <c r="F195" s="311"/>
      <c r="G195" s="311"/>
      <c r="H195" s="311"/>
      <c r="I195" s="316" t="s">
        <v>63</v>
      </c>
      <c r="J195" s="237" t="s">
        <v>19</v>
      </c>
      <c r="K195" s="223">
        <v>3</v>
      </c>
      <c r="L195" s="320" t="s">
        <v>20</v>
      </c>
    </row>
    <row r="196" spans="1:12" ht="39.950000000000003" customHeight="1" x14ac:dyDescent="0.3">
      <c r="A196" s="187"/>
      <c r="B196" s="253" t="s">
        <v>77</v>
      </c>
      <c r="C196" s="189"/>
      <c r="D196" s="190"/>
      <c r="E196" s="189"/>
      <c r="F196" s="189"/>
      <c r="G196" s="189"/>
      <c r="H196" s="189"/>
      <c r="I196" s="189"/>
      <c r="J196" s="189"/>
      <c r="K196" s="205"/>
      <c r="L196" s="189"/>
    </row>
    <row r="197" spans="1:12" ht="39.950000000000003" customHeight="1" x14ac:dyDescent="0.3">
      <c r="A197" s="206">
        <f>78+1+1+3</f>
        <v>83</v>
      </c>
      <c r="B197" s="319" t="s">
        <v>148</v>
      </c>
      <c r="C197" s="208" t="s">
        <v>19</v>
      </c>
      <c r="D197" s="209">
        <v>2</v>
      </c>
      <c r="E197" s="210"/>
      <c r="F197" s="210"/>
      <c r="G197" s="210"/>
      <c r="H197" s="210"/>
      <c r="I197" s="211"/>
      <c r="J197" s="212"/>
      <c r="K197" s="213"/>
      <c r="L197" s="208" t="s">
        <v>20</v>
      </c>
    </row>
    <row r="198" spans="1:12" ht="39.950000000000003" customHeight="1" x14ac:dyDescent="0.2">
      <c r="A198" s="411">
        <f>79+1+1+3</f>
        <v>84</v>
      </c>
      <c r="B198" s="445" t="s">
        <v>50</v>
      </c>
      <c r="C198" s="417" t="s">
        <v>0</v>
      </c>
      <c r="D198" s="446">
        <v>7</v>
      </c>
      <c r="E198" s="405"/>
      <c r="F198" s="405"/>
      <c r="G198" s="405"/>
      <c r="H198" s="405"/>
      <c r="I198" s="211" t="s">
        <v>51</v>
      </c>
      <c r="J198" s="212" t="s">
        <v>0</v>
      </c>
      <c r="K198" s="213">
        <v>7</v>
      </c>
      <c r="L198" s="208" t="s">
        <v>20</v>
      </c>
    </row>
    <row r="199" spans="1:12" ht="39.950000000000003" customHeight="1" x14ac:dyDescent="0.2">
      <c r="A199" s="412"/>
      <c r="B199" s="415"/>
      <c r="C199" s="418"/>
      <c r="D199" s="448"/>
      <c r="E199" s="406"/>
      <c r="F199" s="406"/>
      <c r="G199" s="406"/>
      <c r="H199" s="406"/>
      <c r="I199" s="211" t="s">
        <v>117</v>
      </c>
      <c r="J199" s="212" t="s">
        <v>19</v>
      </c>
      <c r="K199" s="213">
        <v>2</v>
      </c>
      <c r="L199" s="208" t="s">
        <v>20</v>
      </c>
    </row>
    <row r="200" spans="1:12" ht="39.950000000000003" customHeight="1" x14ac:dyDescent="0.2">
      <c r="A200" s="412"/>
      <c r="B200" s="415"/>
      <c r="C200" s="418"/>
      <c r="D200" s="448"/>
      <c r="E200" s="406"/>
      <c r="F200" s="406"/>
      <c r="G200" s="406"/>
      <c r="H200" s="406"/>
      <c r="I200" s="211" t="s">
        <v>123</v>
      </c>
      <c r="J200" s="212" t="s">
        <v>19</v>
      </c>
      <c r="K200" s="213">
        <v>2</v>
      </c>
      <c r="L200" s="208" t="s">
        <v>20</v>
      </c>
    </row>
    <row r="201" spans="1:12" ht="39.950000000000003" customHeight="1" x14ac:dyDescent="0.2">
      <c r="A201" s="413"/>
      <c r="B201" s="416"/>
      <c r="C201" s="419"/>
      <c r="D201" s="447"/>
      <c r="E201" s="407"/>
      <c r="F201" s="407"/>
      <c r="G201" s="407"/>
      <c r="H201" s="407"/>
      <c r="I201" s="211" t="s">
        <v>57</v>
      </c>
      <c r="J201" s="212" t="s">
        <v>19</v>
      </c>
      <c r="K201" s="213">
        <v>3</v>
      </c>
      <c r="L201" s="208" t="s">
        <v>20</v>
      </c>
    </row>
    <row r="202" spans="1:12" ht="39.950000000000003" customHeight="1" x14ac:dyDescent="0.3">
      <c r="A202" s="254">
        <f>80+1+1+3</f>
        <v>85</v>
      </c>
      <c r="B202" s="215" t="s">
        <v>69</v>
      </c>
      <c r="C202" s="216" t="s">
        <v>19</v>
      </c>
      <c r="D202" s="217">
        <v>1</v>
      </c>
      <c r="E202" s="248"/>
      <c r="F202" s="248"/>
      <c r="G202" s="248"/>
      <c r="H202" s="248"/>
      <c r="I202" s="211" t="s">
        <v>70</v>
      </c>
      <c r="J202" s="212" t="s">
        <v>19</v>
      </c>
      <c r="K202" s="213">
        <v>1</v>
      </c>
      <c r="L202" s="208" t="s">
        <v>20</v>
      </c>
    </row>
    <row r="203" spans="1:12" ht="39.950000000000003" customHeight="1" x14ac:dyDescent="0.2">
      <c r="A203" s="245">
        <f>81+1+1+3</f>
        <v>86</v>
      </c>
      <c r="B203" s="218" t="s">
        <v>21</v>
      </c>
      <c r="C203" s="219" t="s">
        <v>0</v>
      </c>
      <c r="D203" s="220">
        <v>113</v>
      </c>
      <c r="E203" s="221"/>
      <c r="F203" s="221"/>
      <c r="G203" s="221"/>
      <c r="H203" s="221"/>
      <c r="I203" s="207" t="s">
        <v>22</v>
      </c>
      <c r="J203" s="212" t="s">
        <v>0</v>
      </c>
      <c r="K203" s="213">
        <v>113</v>
      </c>
      <c r="L203" s="208" t="s">
        <v>20</v>
      </c>
    </row>
    <row r="204" spans="1:12" ht="39.950000000000003" customHeight="1" x14ac:dyDescent="0.2">
      <c r="A204" s="423">
        <f>82+1+1+3</f>
        <v>87</v>
      </c>
      <c r="B204" s="425" t="s">
        <v>23</v>
      </c>
      <c r="C204" s="426" t="s">
        <v>0</v>
      </c>
      <c r="D204" s="427">
        <v>60</v>
      </c>
      <c r="E204" s="400"/>
      <c r="F204" s="400"/>
      <c r="G204" s="400"/>
      <c r="H204" s="400"/>
      <c r="I204" s="207" t="s">
        <v>114</v>
      </c>
      <c r="J204" s="212" t="s">
        <v>115</v>
      </c>
      <c r="K204" s="213">
        <v>1</v>
      </c>
      <c r="L204" s="208" t="s">
        <v>20</v>
      </c>
    </row>
    <row r="205" spans="1:12" ht="39.950000000000003" customHeight="1" x14ac:dyDescent="0.2">
      <c r="A205" s="423"/>
      <c r="B205" s="425"/>
      <c r="C205" s="426"/>
      <c r="D205" s="427"/>
      <c r="E205" s="401"/>
      <c r="F205" s="401"/>
      <c r="G205" s="401"/>
      <c r="H205" s="401"/>
      <c r="I205" s="207" t="s">
        <v>22</v>
      </c>
      <c r="J205" s="212" t="s">
        <v>0</v>
      </c>
      <c r="K205" s="213">
        <v>60</v>
      </c>
      <c r="L205" s="208" t="s">
        <v>20</v>
      </c>
    </row>
    <row r="206" spans="1:12" s="174" customFormat="1" ht="39.950000000000003" customHeight="1" x14ac:dyDescent="0.2">
      <c r="A206" s="430">
        <f>83+1+1+3</f>
        <v>88</v>
      </c>
      <c r="B206" s="414" t="s">
        <v>24</v>
      </c>
      <c r="C206" s="435" t="s">
        <v>19</v>
      </c>
      <c r="D206" s="438">
        <v>2</v>
      </c>
      <c r="E206" s="397"/>
      <c r="F206" s="397"/>
      <c r="G206" s="397"/>
      <c r="H206" s="397"/>
      <c r="I206" s="198" t="s">
        <v>127</v>
      </c>
      <c r="J206" s="196" t="s">
        <v>19</v>
      </c>
      <c r="K206" s="223">
        <v>2</v>
      </c>
      <c r="L206" s="224" t="s">
        <v>20</v>
      </c>
    </row>
    <row r="207" spans="1:12" s="174" customFormat="1" ht="39.950000000000003" customHeight="1" x14ac:dyDescent="0.2">
      <c r="A207" s="431"/>
      <c r="B207" s="433"/>
      <c r="C207" s="436"/>
      <c r="D207" s="439"/>
      <c r="E207" s="398"/>
      <c r="F207" s="398"/>
      <c r="G207" s="398"/>
      <c r="H207" s="398"/>
      <c r="I207" s="225" t="s">
        <v>126</v>
      </c>
      <c r="J207" s="196" t="s">
        <v>19</v>
      </c>
      <c r="K207" s="223">
        <v>2</v>
      </c>
      <c r="L207" s="224" t="s">
        <v>20</v>
      </c>
    </row>
    <row r="208" spans="1:12" s="174" customFormat="1" ht="39.950000000000003" customHeight="1" x14ac:dyDescent="0.2">
      <c r="A208" s="432"/>
      <c r="B208" s="434"/>
      <c r="C208" s="437"/>
      <c r="D208" s="440"/>
      <c r="E208" s="399"/>
      <c r="F208" s="399"/>
      <c r="G208" s="399"/>
      <c r="H208" s="399"/>
      <c r="I208" s="225" t="s">
        <v>128</v>
      </c>
      <c r="J208" s="196" t="s">
        <v>19</v>
      </c>
      <c r="K208" s="223">
        <v>4</v>
      </c>
      <c r="L208" s="224" t="s">
        <v>20</v>
      </c>
    </row>
    <row r="209" spans="1:12" s="3" customFormat="1" ht="39.950000000000003" customHeight="1" x14ac:dyDescent="0.3">
      <c r="A209" s="430">
        <f>84+1+1+3</f>
        <v>89</v>
      </c>
      <c r="B209" s="414" t="s">
        <v>55</v>
      </c>
      <c r="C209" s="435" t="s">
        <v>19</v>
      </c>
      <c r="D209" s="438">
        <v>1</v>
      </c>
      <c r="E209" s="228"/>
      <c r="F209" s="228"/>
      <c r="G209" s="228"/>
      <c r="H209" s="228"/>
      <c r="I209" s="198" t="s">
        <v>127</v>
      </c>
      <c r="J209" s="229" t="s">
        <v>19</v>
      </c>
      <c r="K209" s="213">
        <v>1</v>
      </c>
      <c r="L209" s="224" t="s">
        <v>20</v>
      </c>
    </row>
    <row r="210" spans="1:12" s="3" customFormat="1" ht="39.950000000000003" customHeight="1" x14ac:dyDescent="0.3">
      <c r="A210" s="431"/>
      <c r="B210" s="433"/>
      <c r="C210" s="436"/>
      <c r="D210" s="439"/>
      <c r="E210" s="230"/>
      <c r="F210" s="230"/>
      <c r="G210" s="230"/>
      <c r="H210" s="230"/>
      <c r="I210" s="225" t="s">
        <v>125</v>
      </c>
      <c r="J210" s="229" t="s">
        <v>19</v>
      </c>
      <c r="K210" s="213">
        <v>1</v>
      </c>
      <c r="L210" s="224" t="s">
        <v>20</v>
      </c>
    </row>
    <row r="211" spans="1:12" s="3" customFormat="1" ht="39.950000000000003" customHeight="1" x14ac:dyDescent="0.3">
      <c r="A211" s="432"/>
      <c r="B211" s="434"/>
      <c r="C211" s="437"/>
      <c r="D211" s="440"/>
      <c r="E211" s="231"/>
      <c r="F211" s="231"/>
      <c r="G211" s="231"/>
      <c r="H211" s="231"/>
      <c r="I211" s="225" t="s">
        <v>128</v>
      </c>
      <c r="J211" s="229" t="s">
        <v>19</v>
      </c>
      <c r="K211" s="213">
        <v>1</v>
      </c>
      <c r="L211" s="224" t="s">
        <v>20</v>
      </c>
    </row>
    <row r="212" spans="1:12" s="174" customFormat="1" ht="39.950000000000003" customHeight="1" x14ac:dyDescent="0.3">
      <c r="A212" s="423">
        <f>85+1+1+3</f>
        <v>90</v>
      </c>
      <c r="B212" s="424" t="s">
        <v>142</v>
      </c>
      <c r="C212" s="426" t="s">
        <v>0</v>
      </c>
      <c r="D212" s="427">
        <v>18</v>
      </c>
      <c r="E212" s="255"/>
      <c r="F212" s="255"/>
      <c r="G212" s="255"/>
      <c r="H212" s="255"/>
      <c r="I212" s="261" t="s">
        <v>114</v>
      </c>
      <c r="J212" s="229" t="s">
        <v>115</v>
      </c>
      <c r="K212" s="213">
        <v>1</v>
      </c>
      <c r="L212" s="224" t="s">
        <v>20</v>
      </c>
    </row>
    <row r="213" spans="1:12" ht="39.950000000000003" customHeight="1" x14ac:dyDescent="0.2">
      <c r="A213" s="423"/>
      <c r="B213" s="425"/>
      <c r="C213" s="426"/>
      <c r="D213" s="427"/>
      <c r="E213" s="256"/>
      <c r="F213" s="256"/>
      <c r="G213" s="256"/>
      <c r="H213" s="256"/>
      <c r="I213" s="207" t="s">
        <v>25</v>
      </c>
      <c r="J213" s="212" t="s">
        <v>0</v>
      </c>
      <c r="K213" s="213">
        <v>18</v>
      </c>
      <c r="L213" s="208" t="s">
        <v>20</v>
      </c>
    </row>
    <row r="214" spans="1:12" ht="39.950000000000003" customHeight="1" x14ac:dyDescent="0.2">
      <c r="A214" s="423"/>
      <c r="B214" s="425"/>
      <c r="C214" s="426"/>
      <c r="D214" s="427"/>
      <c r="E214" s="256"/>
      <c r="F214" s="256"/>
      <c r="G214" s="256"/>
      <c r="H214" s="256"/>
      <c r="I214" s="207" t="s">
        <v>66</v>
      </c>
      <c r="J214" s="212" t="s">
        <v>19</v>
      </c>
      <c r="K214" s="213">
        <v>18</v>
      </c>
      <c r="L214" s="208" t="s">
        <v>20</v>
      </c>
    </row>
    <row r="215" spans="1:12" ht="39.950000000000003" customHeight="1" x14ac:dyDescent="0.2">
      <c r="A215" s="317">
        <f>86+1+1+3</f>
        <v>91</v>
      </c>
      <c r="B215" s="250" t="s">
        <v>141</v>
      </c>
      <c r="C215" s="320" t="s">
        <v>0</v>
      </c>
      <c r="D215" s="321">
        <v>7</v>
      </c>
      <c r="E215" s="256"/>
      <c r="F215" s="256"/>
      <c r="G215" s="256"/>
      <c r="H215" s="256"/>
      <c r="I215" s="319" t="s">
        <v>25</v>
      </c>
      <c r="J215" s="212" t="s">
        <v>0</v>
      </c>
      <c r="K215" s="213">
        <v>7</v>
      </c>
      <c r="L215" s="320" t="s">
        <v>20</v>
      </c>
    </row>
    <row r="216" spans="1:12" ht="39.950000000000003" customHeight="1" x14ac:dyDescent="0.2">
      <c r="A216" s="411">
        <f>88+1+1+3</f>
        <v>93</v>
      </c>
      <c r="B216" s="445" t="s">
        <v>61</v>
      </c>
      <c r="C216" s="417" t="s">
        <v>19</v>
      </c>
      <c r="D216" s="420">
        <v>7</v>
      </c>
      <c r="E216" s="310"/>
      <c r="F216" s="310"/>
      <c r="G216" s="310"/>
      <c r="H216" s="310"/>
      <c r="I216" s="319" t="s">
        <v>62</v>
      </c>
      <c r="J216" s="212" t="s">
        <v>19</v>
      </c>
      <c r="K216" s="213">
        <v>7</v>
      </c>
      <c r="L216" s="320" t="s">
        <v>20</v>
      </c>
    </row>
    <row r="217" spans="1:12" ht="39.950000000000003" customHeight="1" x14ac:dyDescent="0.2">
      <c r="A217" s="413"/>
      <c r="B217" s="416"/>
      <c r="C217" s="419"/>
      <c r="D217" s="422"/>
      <c r="E217" s="311"/>
      <c r="F217" s="311"/>
      <c r="G217" s="311"/>
      <c r="H217" s="311"/>
      <c r="I217" s="316" t="s">
        <v>63</v>
      </c>
      <c r="J217" s="237" t="s">
        <v>19</v>
      </c>
      <c r="K217" s="223">
        <v>7</v>
      </c>
      <c r="L217" s="320" t="s">
        <v>20</v>
      </c>
    </row>
    <row r="218" spans="1:12" ht="39.950000000000003" customHeight="1" x14ac:dyDescent="0.3">
      <c r="A218" s="187"/>
      <c r="B218" s="253" t="s">
        <v>78</v>
      </c>
      <c r="C218" s="189"/>
      <c r="D218" s="190"/>
      <c r="E218" s="189"/>
      <c r="F218" s="189"/>
      <c r="G218" s="189"/>
      <c r="H218" s="189"/>
      <c r="I218" s="189"/>
      <c r="J218" s="189"/>
      <c r="K218" s="205"/>
      <c r="L218" s="189"/>
    </row>
    <row r="219" spans="1:12" ht="39.950000000000003" customHeight="1" x14ac:dyDescent="0.3">
      <c r="A219" s="206">
        <f>89+1+1+3</f>
        <v>94</v>
      </c>
      <c r="B219" s="319" t="s">
        <v>148</v>
      </c>
      <c r="C219" s="208" t="s">
        <v>19</v>
      </c>
      <c r="D219" s="209">
        <v>2</v>
      </c>
      <c r="E219" s="210"/>
      <c r="F219" s="210"/>
      <c r="G219" s="210"/>
      <c r="H219" s="210"/>
      <c r="I219" s="211"/>
      <c r="J219" s="212"/>
      <c r="K219" s="213"/>
      <c r="L219" s="208" t="s">
        <v>20</v>
      </c>
    </row>
    <row r="220" spans="1:12" ht="39.950000000000003" customHeight="1" x14ac:dyDescent="0.2">
      <c r="A220" s="411">
        <f>90+1+1+3</f>
        <v>95</v>
      </c>
      <c r="B220" s="445" t="s">
        <v>50</v>
      </c>
      <c r="C220" s="417" t="s">
        <v>0</v>
      </c>
      <c r="D220" s="446">
        <v>5</v>
      </c>
      <c r="E220" s="405"/>
      <c r="F220" s="405"/>
      <c r="G220" s="405"/>
      <c r="H220" s="405"/>
      <c r="I220" s="211" t="s">
        <v>51</v>
      </c>
      <c r="J220" s="212" t="s">
        <v>0</v>
      </c>
      <c r="K220" s="213">
        <v>5</v>
      </c>
      <c r="L220" s="208" t="s">
        <v>20</v>
      </c>
    </row>
    <row r="221" spans="1:12" ht="39.950000000000003" customHeight="1" x14ac:dyDescent="0.2">
      <c r="A221" s="413"/>
      <c r="B221" s="416"/>
      <c r="C221" s="419"/>
      <c r="D221" s="447"/>
      <c r="E221" s="407"/>
      <c r="F221" s="407"/>
      <c r="G221" s="407"/>
      <c r="H221" s="407"/>
      <c r="I221" s="211" t="s">
        <v>57</v>
      </c>
      <c r="J221" s="212" t="s">
        <v>19</v>
      </c>
      <c r="K221" s="213">
        <v>3</v>
      </c>
      <c r="L221" s="208" t="s">
        <v>20</v>
      </c>
    </row>
    <row r="222" spans="1:12" ht="39.950000000000003" customHeight="1" x14ac:dyDescent="0.3">
      <c r="A222" s="254">
        <f>91+1+1+3</f>
        <v>96</v>
      </c>
      <c r="B222" s="215" t="s">
        <v>69</v>
      </c>
      <c r="C222" s="216" t="s">
        <v>19</v>
      </c>
      <c r="D222" s="217">
        <v>1</v>
      </c>
      <c r="E222" s="248"/>
      <c r="F222" s="248"/>
      <c r="G222" s="248"/>
      <c r="H222" s="248"/>
      <c r="I222" s="211" t="s">
        <v>70</v>
      </c>
      <c r="J222" s="212" t="s">
        <v>19</v>
      </c>
      <c r="K222" s="213">
        <v>2</v>
      </c>
      <c r="L222" s="208" t="s">
        <v>20</v>
      </c>
    </row>
    <row r="223" spans="1:12" ht="39.950000000000003" customHeight="1" x14ac:dyDescent="0.2">
      <c r="A223" s="245">
        <f>92+1+1+3</f>
        <v>97</v>
      </c>
      <c r="B223" s="218" t="s">
        <v>21</v>
      </c>
      <c r="C223" s="219" t="s">
        <v>0</v>
      </c>
      <c r="D223" s="220">
        <v>78</v>
      </c>
      <c r="E223" s="221"/>
      <c r="F223" s="221"/>
      <c r="G223" s="221"/>
      <c r="H223" s="221"/>
      <c r="I223" s="207" t="s">
        <v>22</v>
      </c>
      <c r="J223" s="212" t="s">
        <v>0</v>
      </c>
      <c r="K223" s="213">
        <v>78</v>
      </c>
      <c r="L223" s="208" t="s">
        <v>20</v>
      </c>
    </row>
    <row r="224" spans="1:12" ht="39.950000000000003" customHeight="1" x14ac:dyDescent="0.2">
      <c r="A224" s="423">
        <f>93+1+1+3</f>
        <v>98</v>
      </c>
      <c r="B224" s="425" t="s">
        <v>23</v>
      </c>
      <c r="C224" s="426" t="s">
        <v>0</v>
      </c>
      <c r="D224" s="427">
        <v>41</v>
      </c>
      <c r="E224" s="400"/>
      <c r="F224" s="400"/>
      <c r="G224" s="400"/>
      <c r="H224" s="400"/>
      <c r="I224" s="207" t="s">
        <v>114</v>
      </c>
      <c r="J224" s="212" t="s">
        <v>115</v>
      </c>
      <c r="K224" s="213">
        <v>1</v>
      </c>
      <c r="L224" s="208" t="s">
        <v>20</v>
      </c>
    </row>
    <row r="225" spans="1:12" ht="39.950000000000003" customHeight="1" x14ac:dyDescent="0.2">
      <c r="A225" s="423"/>
      <c r="B225" s="425"/>
      <c r="C225" s="426"/>
      <c r="D225" s="427"/>
      <c r="E225" s="401"/>
      <c r="F225" s="401"/>
      <c r="G225" s="401"/>
      <c r="H225" s="401"/>
      <c r="I225" s="207" t="s">
        <v>22</v>
      </c>
      <c r="J225" s="212" t="s">
        <v>0</v>
      </c>
      <c r="K225" s="213">
        <v>41</v>
      </c>
      <c r="L225" s="208" t="s">
        <v>20</v>
      </c>
    </row>
    <row r="226" spans="1:12" s="174" customFormat="1" ht="39.950000000000003" customHeight="1" x14ac:dyDescent="0.2">
      <c r="A226" s="430">
        <f>94+1+1+3</f>
        <v>99</v>
      </c>
      <c r="B226" s="414" t="s">
        <v>24</v>
      </c>
      <c r="C226" s="435" t="s">
        <v>19</v>
      </c>
      <c r="D226" s="438">
        <v>1</v>
      </c>
      <c r="E226" s="397"/>
      <c r="F226" s="397"/>
      <c r="G226" s="397"/>
      <c r="H226" s="397"/>
      <c r="I226" s="198" t="s">
        <v>127</v>
      </c>
      <c r="J226" s="196" t="s">
        <v>19</v>
      </c>
      <c r="K226" s="223">
        <v>1</v>
      </c>
      <c r="L226" s="224" t="s">
        <v>20</v>
      </c>
    </row>
    <row r="227" spans="1:12" s="174" customFormat="1" ht="39.950000000000003" customHeight="1" x14ac:dyDescent="0.2">
      <c r="A227" s="431"/>
      <c r="B227" s="433"/>
      <c r="C227" s="436"/>
      <c r="D227" s="439"/>
      <c r="E227" s="398"/>
      <c r="F227" s="398"/>
      <c r="G227" s="398"/>
      <c r="H227" s="398"/>
      <c r="I227" s="225" t="s">
        <v>126</v>
      </c>
      <c r="J227" s="196" t="s">
        <v>19</v>
      </c>
      <c r="K227" s="223">
        <v>1</v>
      </c>
      <c r="L227" s="224" t="s">
        <v>20</v>
      </c>
    </row>
    <row r="228" spans="1:12" s="174" customFormat="1" ht="39.950000000000003" customHeight="1" x14ac:dyDescent="0.2">
      <c r="A228" s="432"/>
      <c r="B228" s="434"/>
      <c r="C228" s="437"/>
      <c r="D228" s="440"/>
      <c r="E228" s="399"/>
      <c r="F228" s="399"/>
      <c r="G228" s="399"/>
      <c r="H228" s="399"/>
      <c r="I228" s="225" t="s">
        <v>128</v>
      </c>
      <c r="J228" s="196" t="s">
        <v>19</v>
      </c>
      <c r="K228" s="223">
        <v>2</v>
      </c>
      <c r="L228" s="224" t="s">
        <v>20</v>
      </c>
    </row>
    <row r="229" spans="1:12" s="174" customFormat="1" ht="39.950000000000003" customHeight="1" x14ac:dyDescent="0.3">
      <c r="A229" s="430">
        <f>95+1+1+3</f>
        <v>100</v>
      </c>
      <c r="B229" s="414" t="s">
        <v>55</v>
      </c>
      <c r="C229" s="435" t="s">
        <v>19</v>
      </c>
      <c r="D229" s="438">
        <v>1</v>
      </c>
      <c r="E229" s="228"/>
      <c r="F229" s="228"/>
      <c r="G229" s="228"/>
      <c r="H229" s="228"/>
      <c r="I229" s="198" t="s">
        <v>127</v>
      </c>
      <c r="J229" s="229" t="s">
        <v>19</v>
      </c>
      <c r="K229" s="213">
        <v>1</v>
      </c>
      <c r="L229" s="224" t="s">
        <v>20</v>
      </c>
    </row>
    <row r="230" spans="1:12" s="174" customFormat="1" ht="39.950000000000003" customHeight="1" x14ac:dyDescent="0.3">
      <c r="A230" s="431"/>
      <c r="B230" s="433"/>
      <c r="C230" s="436"/>
      <c r="D230" s="439"/>
      <c r="E230" s="230"/>
      <c r="F230" s="230"/>
      <c r="G230" s="230"/>
      <c r="H230" s="230"/>
      <c r="I230" s="225" t="s">
        <v>125</v>
      </c>
      <c r="J230" s="229" t="s">
        <v>19</v>
      </c>
      <c r="K230" s="213">
        <v>1</v>
      </c>
      <c r="L230" s="224" t="s">
        <v>20</v>
      </c>
    </row>
    <row r="231" spans="1:12" s="174" customFormat="1" ht="39.950000000000003" customHeight="1" x14ac:dyDescent="0.3">
      <c r="A231" s="432"/>
      <c r="B231" s="434"/>
      <c r="C231" s="437"/>
      <c r="D231" s="440"/>
      <c r="E231" s="231"/>
      <c r="F231" s="231"/>
      <c r="G231" s="231"/>
      <c r="H231" s="231"/>
      <c r="I231" s="225" t="s">
        <v>128</v>
      </c>
      <c r="J231" s="229" t="s">
        <v>19</v>
      </c>
      <c r="K231" s="213">
        <v>1</v>
      </c>
      <c r="L231" s="224" t="s">
        <v>20</v>
      </c>
    </row>
    <row r="232" spans="1:12" s="174" customFormat="1" ht="39.950000000000003" customHeight="1" x14ac:dyDescent="0.2">
      <c r="A232" s="411">
        <f>96+1+1+3</f>
        <v>101</v>
      </c>
      <c r="B232" s="414" t="s">
        <v>143</v>
      </c>
      <c r="C232" s="417" t="s">
        <v>0</v>
      </c>
      <c r="D232" s="420">
        <v>15</v>
      </c>
      <c r="E232" s="397"/>
      <c r="F232" s="397"/>
      <c r="G232" s="397"/>
      <c r="H232" s="397"/>
      <c r="I232" s="261" t="s">
        <v>114</v>
      </c>
      <c r="J232" s="229" t="s">
        <v>115</v>
      </c>
      <c r="K232" s="213">
        <v>1</v>
      </c>
      <c r="L232" s="224" t="s">
        <v>20</v>
      </c>
    </row>
    <row r="233" spans="1:12" ht="39.950000000000003" customHeight="1" x14ac:dyDescent="0.2">
      <c r="A233" s="412"/>
      <c r="B233" s="415"/>
      <c r="C233" s="418"/>
      <c r="D233" s="421"/>
      <c r="E233" s="398"/>
      <c r="F233" s="398"/>
      <c r="G233" s="398"/>
      <c r="H233" s="398"/>
      <c r="I233" s="207" t="s">
        <v>25</v>
      </c>
      <c r="J233" s="212" t="s">
        <v>0</v>
      </c>
      <c r="K233" s="213">
        <v>15</v>
      </c>
      <c r="L233" s="208" t="s">
        <v>20</v>
      </c>
    </row>
    <row r="234" spans="1:12" ht="39.950000000000003" customHeight="1" x14ac:dyDescent="0.2">
      <c r="A234" s="413"/>
      <c r="B234" s="416"/>
      <c r="C234" s="419"/>
      <c r="D234" s="422"/>
      <c r="E234" s="399"/>
      <c r="F234" s="399"/>
      <c r="G234" s="399"/>
      <c r="H234" s="399"/>
      <c r="I234" s="207" t="s">
        <v>66</v>
      </c>
      <c r="J234" s="212" t="s">
        <v>19</v>
      </c>
      <c r="K234" s="213">
        <v>15</v>
      </c>
      <c r="L234" s="208" t="s">
        <v>20</v>
      </c>
    </row>
    <row r="235" spans="1:12" ht="39.950000000000003" customHeight="1" x14ac:dyDescent="0.2">
      <c r="A235" s="317">
        <f>97+1+1+3</f>
        <v>102</v>
      </c>
      <c r="B235" s="250" t="s">
        <v>141</v>
      </c>
      <c r="C235" s="320" t="s">
        <v>0</v>
      </c>
      <c r="D235" s="321">
        <v>7</v>
      </c>
      <c r="E235" s="256"/>
      <c r="F235" s="256"/>
      <c r="G235" s="256"/>
      <c r="H235" s="256"/>
      <c r="I235" s="319" t="s">
        <v>25</v>
      </c>
      <c r="J235" s="212" t="s">
        <v>0</v>
      </c>
      <c r="K235" s="213">
        <v>7</v>
      </c>
      <c r="L235" s="320" t="s">
        <v>20</v>
      </c>
    </row>
    <row r="236" spans="1:12" ht="39.950000000000003" customHeight="1" x14ac:dyDescent="0.2">
      <c r="A236" s="423">
        <f>99+1+1+3</f>
        <v>104</v>
      </c>
      <c r="B236" s="425" t="s">
        <v>61</v>
      </c>
      <c r="C236" s="417" t="s">
        <v>19</v>
      </c>
      <c r="D236" s="420">
        <v>4</v>
      </c>
      <c r="E236" s="310"/>
      <c r="F236" s="310"/>
      <c r="G236" s="310"/>
      <c r="H236" s="310"/>
      <c r="I236" s="319" t="s">
        <v>62</v>
      </c>
      <c r="J236" s="212" t="s">
        <v>19</v>
      </c>
      <c r="K236" s="213">
        <v>4</v>
      </c>
      <c r="L236" s="320" t="s">
        <v>20</v>
      </c>
    </row>
    <row r="237" spans="1:12" ht="39.950000000000003" customHeight="1" x14ac:dyDescent="0.2">
      <c r="A237" s="423"/>
      <c r="B237" s="425"/>
      <c r="C237" s="419"/>
      <c r="D237" s="422"/>
      <c r="E237" s="311"/>
      <c r="F237" s="311"/>
      <c r="G237" s="311"/>
      <c r="H237" s="311"/>
      <c r="I237" s="316" t="s">
        <v>63</v>
      </c>
      <c r="J237" s="237" t="s">
        <v>19</v>
      </c>
      <c r="K237" s="223">
        <v>4</v>
      </c>
      <c r="L237" s="320" t="s">
        <v>20</v>
      </c>
    </row>
    <row r="238" spans="1:12" ht="39.950000000000003" customHeight="1" x14ac:dyDescent="0.3">
      <c r="A238" s="187"/>
      <c r="B238" s="253" t="s">
        <v>79</v>
      </c>
      <c r="C238" s="189"/>
      <c r="D238" s="190"/>
      <c r="E238" s="189"/>
      <c r="F238" s="189"/>
      <c r="G238" s="189"/>
      <c r="H238" s="189"/>
      <c r="I238" s="189"/>
      <c r="J238" s="189"/>
      <c r="K238" s="205"/>
      <c r="L238" s="189"/>
    </row>
    <row r="239" spans="1:12" ht="39.950000000000003" customHeight="1" x14ac:dyDescent="0.3">
      <c r="A239" s="206">
        <f>100+1+1+3</f>
        <v>105</v>
      </c>
      <c r="B239" s="319" t="s">
        <v>148</v>
      </c>
      <c r="C239" s="208" t="s">
        <v>19</v>
      </c>
      <c r="D239" s="209">
        <v>2</v>
      </c>
      <c r="E239" s="210"/>
      <c r="F239" s="210"/>
      <c r="G239" s="210"/>
      <c r="H239" s="210"/>
      <c r="I239" s="211"/>
      <c r="J239" s="212"/>
      <c r="K239" s="213"/>
      <c r="L239" s="208" t="s">
        <v>20</v>
      </c>
    </row>
    <row r="240" spans="1:12" ht="39.950000000000003" customHeight="1" x14ac:dyDescent="0.2">
      <c r="A240" s="411">
        <f>101+1+1+3</f>
        <v>106</v>
      </c>
      <c r="B240" s="445" t="s">
        <v>50</v>
      </c>
      <c r="C240" s="417" t="s">
        <v>0</v>
      </c>
      <c r="D240" s="446">
        <v>3</v>
      </c>
      <c r="E240" s="405"/>
      <c r="F240" s="405"/>
      <c r="G240" s="405"/>
      <c r="H240" s="405"/>
      <c r="I240" s="211" t="s">
        <v>51</v>
      </c>
      <c r="J240" s="212" t="s">
        <v>0</v>
      </c>
      <c r="K240" s="213">
        <v>3</v>
      </c>
      <c r="L240" s="208" t="s">
        <v>20</v>
      </c>
    </row>
    <row r="241" spans="1:12" ht="39.950000000000003" customHeight="1" x14ac:dyDescent="0.2">
      <c r="A241" s="412"/>
      <c r="B241" s="415"/>
      <c r="C241" s="418"/>
      <c r="D241" s="448"/>
      <c r="E241" s="406"/>
      <c r="F241" s="406"/>
      <c r="G241" s="406"/>
      <c r="H241" s="406"/>
      <c r="I241" s="211" t="s">
        <v>119</v>
      </c>
      <c r="J241" s="212" t="s">
        <v>19</v>
      </c>
      <c r="K241" s="213">
        <v>1</v>
      </c>
      <c r="L241" s="208" t="s">
        <v>20</v>
      </c>
    </row>
    <row r="242" spans="1:12" ht="39.950000000000003" customHeight="1" x14ac:dyDescent="0.2">
      <c r="A242" s="413"/>
      <c r="B242" s="416"/>
      <c r="C242" s="419"/>
      <c r="D242" s="447"/>
      <c r="E242" s="407"/>
      <c r="F242" s="407"/>
      <c r="G242" s="407"/>
      <c r="H242" s="407"/>
      <c r="I242" s="211" t="s">
        <v>57</v>
      </c>
      <c r="J242" s="212" t="s">
        <v>19</v>
      </c>
      <c r="K242" s="213">
        <v>3</v>
      </c>
      <c r="L242" s="208" t="s">
        <v>20</v>
      </c>
    </row>
    <row r="243" spans="1:12" ht="39.950000000000003" customHeight="1" x14ac:dyDescent="0.2">
      <c r="A243" s="245">
        <f>102+1+1+3</f>
        <v>107</v>
      </c>
      <c r="B243" s="218" t="s">
        <v>21</v>
      </c>
      <c r="C243" s="219" t="s">
        <v>0</v>
      </c>
      <c r="D243" s="220">
        <v>58</v>
      </c>
      <c r="E243" s="221"/>
      <c r="F243" s="221"/>
      <c r="G243" s="221"/>
      <c r="H243" s="221"/>
      <c r="I243" s="207" t="s">
        <v>22</v>
      </c>
      <c r="J243" s="212" t="s">
        <v>0</v>
      </c>
      <c r="K243" s="213">
        <v>58</v>
      </c>
      <c r="L243" s="208" t="s">
        <v>20</v>
      </c>
    </row>
    <row r="244" spans="1:12" ht="39.950000000000003" customHeight="1" x14ac:dyDescent="0.2">
      <c r="A244" s="423">
        <f>103+1+1+3</f>
        <v>108</v>
      </c>
      <c r="B244" s="425" t="s">
        <v>23</v>
      </c>
      <c r="C244" s="426" t="s">
        <v>0</v>
      </c>
      <c r="D244" s="427">
        <v>16</v>
      </c>
      <c r="E244" s="400"/>
      <c r="F244" s="400"/>
      <c r="G244" s="400"/>
      <c r="H244" s="400"/>
      <c r="I244" s="207" t="s">
        <v>114</v>
      </c>
      <c r="J244" s="212" t="s">
        <v>115</v>
      </c>
      <c r="K244" s="213">
        <v>1</v>
      </c>
      <c r="L244" s="208" t="s">
        <v>20</v>
      </c>
    </row>
    <row r="245" spans="1:12" ht="39.950000000000003" customHeight="1" x14ac:dyDescent="0.2">
      <c r="A245" s="423"/>
      <c r="B245" s="425"/>
      <c r="C245" s="426"/>
      <c r="D245" s="427"/>
      <c r="E245" s="401"/>
      <c r="F245" s="401"/>
      <c r="G245" s="401"/>
      <c r="H245" s="401"/>
      <c r="I245" s="207" t="s">
        <v>22</v>
      </c>
      <c r="J245" s="212" t="s">
        <v>0</v>
      </c>
      <c r="K245" s="213">
        <v>16</v>
      </c>
      <c r="L245" s="208" t="s">
        <v>20</v>
      </c>
    </row>
    <row r="246" spans="1:12" s="174" customFormat="1" ht="39.950000000000003" customHeight="1" x14ac:dyDescent="0.2">
      <c r="A246" s="430">
        <f>104+1+1+3</f>
        <v>109</v>
      </c>
      <c r="B246" s="414" t="s">
        <v>24</v>
      </c>
      <c r="C246" s="435" t="s">
        <v>19</v>
      </c>
      <c r="D246" s="438">
        <v>1</v>
      </c>
      <c r="E246" s="397"/>
      <c r="F246" s="397"/>
      <c r="G246" s="397"/>
      <c r="H246" s="397"/>
      <c r="I246" s="198" t="s">
        <v>127</v>
      </c>
      <c r="J246" s="196" t="s">
        <v>19</v>
      </c>
      <c r="K246" s="223">
        <v>1</v>
      </c>
      <c r="L246" s="224" t="s">
        <v>20</v>
      </c>
    </row>
    <row r="247" spans="1:12" s="174" customFormat="1" ht="39.950000000000003" customHeight="1" x14ac:dyDescent="0.2">
      <c r="A247" s="431"/>
      <c r="B247" s="433"/>
      <c r="C247" s="436"/>
      <c r="D247" s="439"/>
      <c r="E247" s="398"/>
      <c r="F247" s="398"/>
      <c r="G247" s="398"/>
      <c r="H247" s="398"/>
      <c r="I247" s="225" t="s">
        <v>126</v>
      </c>
      <c r="J247" s="196" t="s">
        <v>19</v>
      </c>
      <c r="K247" s="223">
        <v>1</v>
      </c>
      <c r="L247" s="224" t="s">
        <v>20</v>
      </c>
    </row>
    <row r="248" spans="1:12" s="3" customFormat="1" ht="39.950000000000003" customHeight="1" x14ac:dyDescent="0.2">
      <c r="A248" s="432"/>
      <c r="B248" s="434"/>
      <c r="C248" s="437"/>
      <c r="D248" s="440"/>
      <c r="E248" s="399"/>
      <c r="F248" s="399"/>
      <c r="G248" s="399"/>
      <c r="H248" s="399"/>
      <c r="I248" s="225" t="s">
        <v>128</v>
      </c>
      <c r="J248" s="196" t="s">
        <v>19</v>
      </c>
      <c r="K248" s="223">
        <v>2</v>
      </c>
      <c r="L248" s="224" t="s">
        <v>20</v>
      </c>
    </row>
    <row r="249" spans="1:12" s="3" customFormat="1" ht="39.950000000000003" customHeight="1" x14ac:dyDescent="0.2">
      <c r="A249" s="411">
        <f>105+1+1+3</f>
        <v>110</v>
      </c>
      <c r="B249" s="414" t="s">
        <v>145</v>
      </c>
      <c r="C249" s="417" t="s">
        <v>0</v>
      </c>
      <c r="D249" s="420">
        <v>6</v>
      </c>
      <c r="E249" s="397"/>
      <c r="F249" s="397"/>
      <c r="G249" s="397"/>
      <c r="H249" s="397"/>
      <c r="I249" s="225" t="s">
        <v>114</v>
      </c>
      <c r="J249" s="196" t="s">
        <v>115</v>
      </c>
      <c r="K249" s="223">
        <v>1</v>
      </c>
      <c r="L249" s="224" t="s">
        <v>20</v>
      </c>
    </row>
    <row r="250" spans="1:12" ht="39.950000000000003" customHeight="1" x14ac:dyDescent="0.2">
      <c r="A250" s="412"/>
      <c r="B250" s="415"/>
      <c r="C250" s="418"/>
      <c r="D250" s="421"/>
      <c r="E250" s="398"/>
      <c r="F250" s="398"/>
      <c r="G250" s="398"/>
      <c r="H250" s="398"/>
      <c r="I250" s="207" t="s">
        <v>25</v>
      </c>
      <c r="J250" s="212" t="s">
        <v>0</v>
      </c>
      <c r="K250" s="213">
        <v>6</v>
      </c>
      <c r="L250" s="208" t="s">
        <v>20</v>
      </c>
    </row>
    <row r="251" spans="1:12" ht="39.950000000000003" customHeight="1" x14ac:dyDescent="0.2">
      <c r="A251" s="412"/>
      <c r="B251" s="415"/>
      <c r="C251" s="418"/>
      <c r="D251" s="421"/>
      <c r="E251" s="398"/>
      <c r="F251" s="398"/>
      <c r="G251" s="398"/>
      <c r="H251" s="398"/>
      <c r="I251" s="323" t="s">
        <v>66</v>
      </c>
      <c r="J251" s="326" t="s">
        <v>19</v>
      </c>
      <c r="K251" s="327">
        <v>6</v>
      </c>
      <c r="L251" s="314" t="s">
        <v>20</v>
      </c>
    </row>
    <row r="252" spans="1:12" ht="39.950000000000003" customHeight="1" x14ac:dyDescent="0.2">
      <c r="A252" s="317">
        <f>106+1+1+3</f>
        <v>111</v>
      </c>
      <c r="B252" s="250" t="s">
        <v>141</v>
      </c>
      <c r="C252" s="320" t="s">
        <v>0</v>
      </c>
      <c r="D252" s="321">
        <v>3</v>
      </c>
      <c r="E252" s="256"/>
      <c r="F252" s="256"/>
      <c r="G252" s="256"/>
      <c r="H252" s="256"/>
      <c r="I252" s="319" t="s">
        <v>25</v>
      </c>
      <c r="J252" s="212" t="s">
        <v>0</v>
      </c>
      <c r="K252" s="213">
        <v>3</v>
      </c>
      <c r="L252" s="320" t="s">
        <v>20</v>
      </c>
    </row>
    <row r="253" spans="1:12" ht="39.950000000000003" customHeight="1" x14ac:dyDescent="0.2">
      <c r="A253" s="411">
        <f>108+1+1+3</f>
        <v>113</v>
      </c>
      <c r="B253" s="445" t="s">
        <v>61</v>
      </c>
      <c r="C253" s="417" t="s">
        <v>19</v>
      </c>
      <c r="D253" s="420">
        <v>3</v>
      </c>
      <c r="E253" s="310"/>
      <c r="F253" s="310"/>
      <c r="G253" s="310"/>
      <c r="H253" s="310"/>
      <c r="I253" s="319" t="s">
        <v>62</v>
      </c>
      <c r="J253" s="212" t="s">
        <v>19</v>
      </c>
      <c r="K253" s="213">
        <v>3</v>
      </c>
      <c r="L253" s="320" t="s">
        <v>20</v>
      </c>
    </row>
    <row r="254" spans="1:12" ht="39.950000000000003" customHeight="1" x14ac:dyDescent="0.2">
      <c r="A254" s="413"/>
      <c r="B254" s="416"/>
      <c r="C254" s="419"/>
      <c r="D254" s="422"/>
      <c r="E254" s="311"/>
      <c r="F254" s="311"/>
      <c r="G254" s="311"/>
      <c r="H254" s="311"/>
      <c r="I254" s="316" t="s">
        <v>63</v>
      </c>
      <c r="J254" s="237" t="s">
        <v>19</v>
      </c>
      <c r="K254" s="223">
        <v>3</v>
      </c>
      <c r="L254" s="320" t="s">
        <v>20</v>
      </c>
    </row>
    <row r="255" spans="1:12" ht="39.950000000000003" customHeight="1" x14ac:dyDescent="0.3">
      <c r="A255" s="187"/>
      <c r="B255" s="253" t="s">
        <v>80</v>
      </c>
      <c r="C255" s="189"/>
      <c r="D255" s="190"/>
      <c r="E255" s="189"/>
      <c r="F255" s="189"/>
      <c r="G255" s="189"/>
      <c r="H255" s="189"/>
      <c r="I255" s="189"/>
      <c r="J255" s="189"/>
      <c r="K255" s="205"/>
      <c r="L255" s="189"/>
    </row>
    <row r="256" spans="1:12" ht="39.950000000000003" customHeight="1" x14ac:dyDescent="0.3">
      <c r="A256" s="206">
        <f>109+1+1+3</f>
        <v>114</v>
      </c>
      <c r="B256" s="319" t="s">
        <v>148</v>
      </c>
      <c r="C256" s="208" t="s">
        <v>19</v>
      </c>
      <c r="D256" s="209">
        <v>2</v>
      </c>
      <c r="E256" s="210"/>
      <c r="F256" s="210"/>
      <c r="G256" s="210"/>
      <c r="H256" s="210"/>
      <c r="I256" s="211"/>
      <c r="J256" s="212"/>
      <c r="K256" s="213"/>
      <c r="L256" s="208" t="s">
        <v>20</v>
      </c>
    </row>
    <row r="257" spans="1:12" ht="39.950000000000003" customHeight="1" x14ac:dyDescent="0.2">
      <c r="A257" s="411">
        <f>110+1+1+3</f>
        <v>115</v>
      </c>
      <c r="B257" s="445" t="s">
        <v>50</v>
      </c>
      <c r="C257" s="417" t="s">
        <v>0</v>
      </c>
      <c r="D257" s="446">
        <v>5</v>
      </c>
      <c r="E257" s="405"/>
      <c r="F257" s="405"/>
      <c r="G257" s="405"/>
      <c r="H257" s="405"/>
      <c r="I257" s="211" t="s">
        <v>51</v>
      </c>
      <c r="J257" s="212" t="s">
        <v>0</v>
      </c>
      <c r="K257" s="213">
        <v>5</v>
      </c>
      <c r="L257" s="208" t="s">
        <v>20</v>
      </c>
    </row>
    <row r="258" spans="1:12" ht="39.950000000000003" customHeight="1" x14ac:dyDescent="0.2">
      <c r="A258" s="412"/>
      <c r="B258" s="415"/>
      <c r="C258" s="418"/>
      <c r="D258" s="448"/>
      <c r="E258" s="406"/>
      <c r="F258" s="406"/>
      <c r="G258" s="406"/>
      <c r="H258" s="406"/>
      <c r="I258" s="211" t="s">
        <v>56</v>
      </c>
      <c r="J258" s="212" t="s">
        <v>19</v>
      </c>
      <c r="K258" s="213">
        <v>1</v>
      </c>
      <c r="L258" s="208" t="s">
        <v>20</v>
      </c>
    </row>
    <row r="259" spans="1:12" ht="39.950000000000003" customHeight="1" x14ac:dyDescent="0.2">
      <c r="A259" s="412"/>
      <c r="B259" s="415"/>
      <c r="C259" s="418"/>
      <c r="D259" s="448"/>
      <c r="E259" s="406"/>
      <c r="F259" s="406"/>
      <c r="G259" s="406"/>
      <c r="H259" s="406"/>
      <c r="I259" s="211" t="s">
        <v>117</v>
      </c>
      <c r="J259" s="212" t="s">
        <v>19</v>
      </c>
      <c r="K259" s="213">
        <v>1</v>
      </c>
      <c r="L259" s="208" t="s">
        <v>20</v>
      </c>
    </row>
    <row r="260" spans="1:12" ht="39.950000000000003" customHeight="1" x14ac:dyDescent="0.2">
      <c r="A260" s="413"/>
      <c r="B260" s="416"/>
      <c r="C260" s="419"/>
      <c r="D260" s="447"/>
      <c r="E260" s="407"/>
      <c r="F260" s="407"/>
      <c r="G260" s="407"/>
      <c r="H260" s="407"/>
      <c r="I260" s="211" t="s">
        <v>57</v>
      </c>
      <c r="J260" s="212" t="s">
        <v>19</v>
      </c>
      <c r="K260" s="213">
        <v>1</v>
      </c>
      <c r="L260" s="208" t="s">
        <v>20</v>
      </c>
    </row>
    <row r="261" spans="1:12" ht="39.950000000000003" customHeight="1" x14ac:dyDescent="0.3">
      <c r="A261" s="254">
        <f>111+1+1+3</f>
        <v>116</v>
      </c>
      <c r="B261" s="215" t="s">
        <v>69</v>
      </c>
      <c r="C261" s="216" t="s">
        <v>19</v>
      </c>
      <c r="D261" s="217">
        <v>1</v>
      </c>
      <c r="E261" s="248"/>
      <c r="F261" s="248"/>
      <c r="G261" s="248"/>
      <c r="H261" s="248"/>
      <c r="I261" s="211" t="s">
        <v>70</v>
      </c>
      <c r="J261" s="212" t="s">
        <v>19</v>
      </c>
      <c r="K261" s="213">
        <v>1</v>
      </c>
      <c r="L261" s="208" t="s">
        <v>20</v>
      </c>
    </row>
    <row r="262" spans="1:12" ht="39.950000000000003" customHeight="1" x14ac:dyDescent="0.2">
      <c r="A262" s="245">
        <f>112+1+1+3</f>
        <v>117</v>
      </c>
      <c r="B262" s="218" t="s">
        <v>21</v>
      </c>
      <c r="C262" s="219" t="s">
        <v>0</v>
      </c>
      <c r="D262" s="220">
        <v>71</v>
      </c>
      <c r="E262" s="221"/>
      <c r="F262" s="221"/>
      <c r="G262" s="221"/>
      <c r="H262" s="221"/>
      <c r="I262" s="207" t="s">
        <v>22</v>
      </c>
      <c r="J262" s="212" t="s">
        <v>0</v>
      </c>
      <c r="K262" s="213">
        <v>71</v>
      </c>
      <c r="L262" s="208" t="s">
        <v>20</v>
      </c>
    </row>
    <row r="263" spans="1:12" ht="39.950000000000003" customHeight="1" x14ac:dyDescent="0.2">
      <c r="A263" s="423">
        <f>113+1+1+3</f>
        <v>118</v>
      </c>
      <c r="B263" s="425" t="s">
        <v>23</v>
      </c>
      <c r="C263" s="417" t="s">
        <v>0</v>
      </c>
      <c r="D263" s="420">
        <v>24</v>
      </c>
      <c r="E263" s="400"/>
      <c r="F263" s="400"/>
      <c r="G263" s="400"/>
      <c r="H263" s="400"/>
      <c r="I263" s="207" t="s">
        <v>114</v>
      </c>
      <c r="J263" s="212" t="s">
        <v>115</v>
      </c>
      <c r="K263" s="213">
        <v>1</v>
      </c>
      <c r="L263" s="208" t="s">
        <v>20</v>
      </c>
    </row>
    <row r="264" spans="1:12" ht="39.950000000000003" customHeight="1" x14ac:dyDescent="0.2">
      <c r="A264" s="423"/>
      <c r="B264" s="425"/>
      <c r="C264" s="419"/>
      <c r="D264" s="422"/>
      <c r="E264" s="401"/>
      <c r="F264" s="401"/>
      <c r="G264" s="401"/>
      <c r="H264" s="401"/>
      <c r="I264" s="207" t="s">
        <v>22</v>
      </c>
      <c r="J264" s="212" t="s">
        <v>0</v>
      </c>
      <c r="K264" s="213">
        <v>24</v>
      </c>
      <c r="L264" s="208" t="s">
        <v>20</v>
      </c>
    </row>
    <row r="265" spans="1:12" s="174" customFormat="1" ht="39.950000000000003" customHeight="1" x14ac:dyDescent="0.2">
      <c r="A265" s="430">
        <f>114+1+1+3</f>
        <v>119</v>
      </c>
      <c r="B265" s="414" t="s">
        <v>24</v>
      </c>
      <c r="C265" s="435" t="s">
        <v>19</v>
      </c>
      <c r="D265" s="438">
        <v>1</v>
      </c>
      <c r="E265" s="397"/>
      <c r="F265" s="397"/>
      <c r="G265" s="397"/>
      <c r="H265" s="397"/>
      <c r="I265" s="198" t="s">
        <v>127</v>
      </c>
      <c r="J265" s="196" t="s">
        <v>19</v>
      </c>
      <c r="K265" s="223">
        <v>1</v>
      </c>
      <c r="L265" s="224" t="s">
        <v>20</v>
      </c>
    </row>
    <row r="266" spans="1:12" s="174" customFormat="1" ht="39.950000000000003" customHeight="1" x14ac:dyDescent="0.2">
      <c r="A266" s="431"/>
      <c r="B266" s="433"/>
      <c r="C266" s="436"/>
      <c r="D266" s="439"/>
      <c r="E266" s="398"/>
      <c r="F266" s="398"/>
      <c r="G266" s="398"/>
      <c r="H266" s="398"/>
      <c r="I266" s="225" t="s">
        <v>126</v>
      </c>
      <c r="J266" s="196" t="s">
        <v>19</v>
      </c>
      <c r="K266" s="223">
        <v>1</v>
      </c>
      <c r="L266" s="224" t="s">
        <v>20</v>
      </c>
    </row>
    <row r="267" spans="1:12" s="174" customFormat="1" ht="39.950000000000003" customHeight="1" x14ac:dyDescent="0.2">
      <c r="A267" s="432"/>
      <c r="B267" s="434"/>
      <c r="C267" s="437"/>
      <c r="D267" s="440"/>
      <c r="E267" s="399"/>
      <c r="F267" s="399"/>
      <c r="G267" s="399"/>
      <c r="H267" s="399"/>
      <c r="I267" s="225" t="s">
        <v>128</v>
      </c>
      <c r="J267" s="196" t="s">
        <v>19</v>
      </c>
      <c r="K267" s="223">
        <v>2</v>
      </c>
      <c r="L267" s="224" t="s">
        <v>20</v>
      </c>
    </row>
    <row r="268" spans="1:12" s="174" customFormat="1" ht="39.950000000000003" customHeight="1" x14ac:dyDescent="0.3">
      <c r="A268" s="430">
        <f>115+1+1+3</f>
        <v>120</v>
      </c>
      <c r="B268" s="414" t="s">
        <v>55</v>
      </c>
      <c r="C268" s="435" t="s">
        <v>19</v>
      </c>
      <c r="D268" s="438">
        <v>1</v>
      </c>
      <c r="E268" s="228"/>
      <c r="F268" s="228"/>
      <c r="G268" s="228"/>
      <c r="H268" s="228"/>
      <c r="I268" s="198" t="s">
        <v>127</v>
      </c>
      <c r="J268" s="229" t="s">
        <v>19</v>
      </c>
      <c r="K268" s="213">
        <v>1</v>
      </c>
      <c r="L268" s="224" t="s">
        <v>20</v>
      </c>
    </row>
    <row r="269" spans="1:12" s="174" customFormat="1" ht="39.950000000000003" customHeight="1" x14ac:dyDescent="0.3">
      <c r="A269" s="431"/>
      <c r="B269" s="433"/>
      <c r="C269" s="436"/>
      <c r="D269" s="439"/>
      <c r="E269" s="230"/>
      <c r="F269" s="230"/>
      <c r="G269" s="230"/>
      <c r="H269" s="230"/>
      <c r="I269" s="225" t="s">
        <v>125</v>
      </c>
      <c r="J269" s="229" t="s">
        <v>19</v>
      </c>
      <c r="K269" s="213">
        <v>1</v>
      </c>
      <c r="L269" s="224" t="s">
        <v>20</v>
      </c>
    </row>
    <row r="270" spans="1:12" s="174" customFormat="1" ht="39.950000000000003" customHeight="1" x14ac:dyDescent="0.3">
      <c r="A270" s="432"/>
      <c r="B270" s="434"/>
      <c r="C270" s="437"/>
      <c r="D270" s="440"/>
      <c r="E270" s="231"/>
      <c r="F270" s="231"/>
      <c r="G270" s="231"/>
      <c r="H270" s="231"/>
      <c r="I270" s="225" t="s">
        <v>128</v>
      </c>
      <c r="J270" s="229" t="s">
        <v>19</v>
      </c>
      <c r="K270" s="213">
        <v>1</v>
      </c>
      <c r="L270" s="224" t="s">
        <v>20</v>
      </c>
    </row>
    <row r="271" spans="1:12" s="3" customFormat="1" ht="39.950000000000003" customHeight="1" x14ac:dyDescent="0.2">
      <c r="A271" s="423">
        <f>116+1+1+3</f>
        <v>121</v>
      </c>
      <c r="B271" s="424" t="s">
        <v>143</v>
      </c>
      <c r="C271" s="426" t="s">
        <v>0</v>
      </c>
      <c r="D271" s="427">
        <v>8</v>
      </c>
      <c r="E271" s="397"/>
      <c r="F271" s="397"/>
      <c r="G271" s="397"/>
      <c r="H271" s="397"/>
      <c r="I271" s="261" t="s">
        <v>114</v>
      </c>
      <c r="J271" s="229" t="s">
        <v>115</v>
      </c>
      <c r="K271" s="213">
        <v>1</v>
      </c>
      <c r="L271" s="224" t="s">
        <v>20</v>
      </c>
    </row>
    <row r="272" spans="1:12" s="3" customFormat="1" ht="39.950000000000003" customHeight="1" x14ac:dyDescent="0.2">
      <c r="A272" s="423"/>
      <c r="B272" s="425"/>
      <c r="C272" s="426"/>
      <c r="D272" s="427"/>
      <c r="E272" s="398"/>
      <c r="F272" s="398"/>
      <c r="G272" s="398"/>
      <c r="H272" s="398"/>
      <c r="I272" s="207" t="s">
        <v>25</v>
      </c>
      <c r="J272" s="212" t="s">
        <v>0</v>
      </c>
      <c r="K272" s="213">
        <v>8</v>
      </c>
      <c r="L272" s="208" t="s">
        <v>20</v>
      </c>
    </row>
    <row r="273" spans="1:12" ht="39.950000000000003" customHeight="1" x14ac:dyDescent="0.2">
      <c r="A273" s="423"/>
      <c r="B273" s="425"/>
      <c r="C273" s="426"/>
      <c r="D273" s="427"/>
      <c r="E273" s="399"/>
      <c r="F273" s="399"/>
      <c r="G273" s="399"/>
      <c r="H273" s="399"/>
      <c r="I273" s="207" t="s">
        <v>66</v>
      </c>
      <c r="J273" s="212" t="s">
        <v>19</v>
      </c>
      <c r="K273" s="213">
        <v>8</v>
      </c>
      <c r="L273" s="208" t="s">
        <v>20</v>
      </c>
    </row>
    <row r="274" spans="1:12" ht="39.950000000000003" customHeight="1" x14ac:dyDescent="0.2">
      <c r="A274" s="317">
        <f>117+1+1+3</f>
        <v>122</v>
      </c>
      <c r="B274" s="250" t="s">
        <v>141</v>
      </c>
      <c r="C274" s="320" t="s">
        <v>0</v>
      </c>
      <c r="D274" s="321">
        <v>7</v>
      </c>
      <c r="E274" s="256"/>
      <c r="F274" s="256"/>
      <c r="G274" s="256"/>
      <c r="H274" s="256"/>
      <c r="I274" s="319" t="s">
        <v>25</v>
      </c>
      <c r="J274" s="212" t="s">
        <v>0</v>
      </c>
      <c r="K274" s="213">
        <v>7</v>
      </c>
      <c r="L274" s="320" t="s">
        <v>20</v>
      </c>
    </row>
    <row r="275" spans="1:12" ht="39.950000000000003" customHeight="1" x14ac:dyDescent="0.2">
      <c r="A275" s="423">
        <f>119+1+1+3</f>
        <v>124</v>
      </c>
      <c r="B275" s="445" t="s">
        <v>61</v>
      </c>
      <c r="C275" s="417" t="s">
        <v>19</v>
      </c>
      <c r="D275" s="420">
        <v>4</v>
      </c>
      <c r="E275" s="310"/>
      <c r="F275" s="310"/>
      <c r="G275" s="310"/>
      <c r="H275" s="310"/>
      <c r="I275" s="319" t="s">
        <v>62</v>
      </c>
      <c r="J275" s="212" t="s">
        <v>19</v>
      </c>
      <c r="K275" s="213">
        <v>4</v>
      </c>
      <c r="L275" s="320" t="s">
        <v>20</v>
      </c>
    </row>
    <row r="276" spans="1:12" ht="39.950000000000003" customHeight="1" x14ac:dyDescent="0.2">
      <c r="A276" s="423"/>
      <c r="B276" s="416"/>
      <c r="C276" s="419"/>
      <c r="D276" s="422"/>
      <c r="E276" s="311"/>
      <c r="F276" s="311"/>
      <c r="G276" s="311"/>
      <c r="H276" s="311"/>
      <c r="I276" s="316" t="s">
        <v>63</v>
      </c>
      <c r="J276" s="237" t="s">
        <v>19</v>
      </c>
      <c r="K276" s="223">
        <v>4</v>
      </c>
      <c r="L276" s="320" t="s">
        <v>20</v>
      </c>
    </row>
    <row r="277" spans="1:12" ht="39.950000000000003" customHeight="1" x14ac:dyDescent="0.3">
      <c r="A277" s="187"/>
      <c r="B277" s="253" t="s">
        <v>81</v>
      </c>
      <c r="C277" s="189"/>
      <c r="D277" s="190"/>
      <c r="E277" s="189"/>
      <c r="F277" s="189"/>
      <c r="G277" s="189"/>
      <c r="H277" s="189"/>
      <c r="I277" s="189"/>
      <c r="J277" s="189"/>
      <c r="K277" s="205"/>
      <c r="L277" s="189"/>
    </row>
    <row r="278" spans="1:12" ht="39.950000000000003" customHeight="1" x14ac:dyDescent="0.3">
      <c r="A278" s="206">
        <f>120+1+1+3</f>
        <v>125</v>
      </c>
      <c r="B278" s="319" t="s">
        <v>148</v>
      </c>
      <c r="C278" s="208" t="s">
        <v>19</v>
      </c>
      <c r="D278" s="209">
        <v>3</v>
      </c>
      <c r="E278" s="210"/>
      <c r="F278" s="210"/>
      <c r="G278" s="210"/>
      <c r="H278" s="210"/>
      <c r="I278" s="211"/>
      <c r="J278" s="212"/>
      <c r="K278" s="213"/>
      <c r="L278" s="208" t="s">
        <v>20</v>
      </c>
    </row>
    <row r="279" spans="1:12" ht="39.950000000000003" customHeight="1" x14ac:dyDescent="0.2">
      <c r="A279" s="411">
        <f>121+1+1+3</f>
        <v>126</v>
      </c>
      <c r="B279" s="445" t="s">
        <v>50</v>
      </c>
      <c r="C279" s="417" t="s">
        <v>0</v>
      </c>
      <c r="D279" s="446">
        <v>16</v>
      </c>
      <c r="E279" s="405"/>
      <c r="F279" s="405"/>
      <c r="G279" s="405"/>
      <c r="H279" s="405"/>
      <c r="I279" s="211" t="s">
        <v>51</v>
      </c>
      <c r="J279" s="212" t="s">
        <v>0</v>
      </c>
      <c r="K279" s="213">
        <v>16</v>
      </c>
      <c r="L279" s="208" t="s">
        <v>20</v>
      </c>
    </row>
    <row r="280" spans="1:12" ht="39.950000000000003" customHeight="1" x14ac:dyDescent="0.2">
      <c r="A280" s="412"/>
      <c r="B280" s="415"/>
      <c r="C280" s="418"/>
      <c r="D280" s="448"/>
      <c r="E280" s="406"/>
      <c r="F280" s="406"/>
      <c r="G280" s="406"/>
      <c r="H280" s="406"/>
      <c r="I280" s="211" t="s">
        <v>56</v>
      </c>
      <c r="J280" s="212" t="s">
        <v>19</v>
      </c>
      <c r="K280" s="213">
        <v>1</v>
      </c>
      <c r="L280" s="208" t="s">
        <v>20</v>
      </c>
    </row>
    <row r="281" spans="1:12" s="174" customFormat="1" ht="39.950000000000003" customHeight="1" x14ac:dyDescent="0.2">
      <c r="A281" s="412"/>
      <c r="B281" s="415"/>
      <c r="C281" s="418"/>
      <c r="D281" s="448"/>
      <c r="E281" s="406"/>
      <c r="F281" s="406"/>
      <c r="G281" s="406"/>
      <c r="H281" s="406"/>
      <c r="I281" s="261" t="s">
        <v>138</v>
      </c>
      <c r="J281" s="229" t="s">
        <v>19</v>
      </c>
      <c r="K281" s="213">
        <v>1</v>
      </c>
      <c r="L281" s="224" t="s">
        <v>20</v>
      </c>
    </row>
    <row r="282" spans="1:12" ht="39.950000000000003" customHeight="1" x14ac:dyDescent="0.2">
      <c r="A282" s="413"/>
      <c r="B282" s="416"/>
      <c r="C282" s="419"/>
      <c r="D282" s="447"/>
      <c r="E282" s="407"/>
      <c r="F282" s="407"/>
      <c r="G282" s="407"/>
      <c r="H282" s="407"/>
      <c r="I282" s="211" t="s">
        <v>57</v>
      </c>
      <c r="J282" s="212" t="s">
        <v>19</v>
      </c>
      <c r="K282" s="213">
        <f>3+3</f>
        <v>6</v>
      </c>
      <c r="L282" s="208" t="s">
        <v>20</v>
      </c>
    </row>
    <row r="283" spans="1:12" ht="39.950000000000003" customHeight="1" x14ac:dyDescent="0.3">
      <c r="A283" s="254">
        <f>122+1+1+3</f>
        <v>127</v>
      </c>
      <c r="B283" s="215" t="s">
        <v>69</v>
      </c>
      <c r="C283" s="216" t="s">
        <v>19</v>
      </c>
      <c r="D283" s="217">
        <v>2</v>
      </c>
      <c r="E283" s="248"/>
      <c r="F283" s="248"/>
      <c r="G283" s="248"/>
      <c r="H283" s="248"/>
      <c r="I283" s="211" t="s">
        <v>70</v>
      </c>
      <c r="J283" s="212" t="s">
        <v>19</v>
      </c>
      <c r="K283" s="213">
        <v>2</v>
      </c>
      <c r="L283" s="208" t="s">
        <v>20</v>
      </c>
    </row>
    <row r="284" spans="1:12" ht="39.950000000000003" customHeight="1" x14ac:dyDescent="0.2">
      <c r="A284" s="245">
        <f>123+1+1+3</f>
        <v>128</v>
      </c>
      <c r="B284" s="218" t="s">
        <v>21</v>
      </c>
      <c r="C284" s="219" t="s">
        <v>0</v>
      </c>
      <c r="D284" s="220">
        <v>297</v>
      </c>
      <c r="E284" s="221"/>
      <c r="F284" s="221"/>
      <c r="G284" s="221"/>
      <c r="H284" s="221"/>
      <c r="I284" s="207" t="s">
        <v>22</v>
      </c>
      <c r="J284" s="212" t="s">
        <v>0</v>
      </c>
      <c r="K284" s="213">
        <v>297</v>
      </c>
      <c r="L284" s="208" t="s">
        <v>20</v>
      </c>
    </row>
    <row r="285" spans="1:12" ht="39.950000000000003" customHeight="1" x14ac:dyDescent="0.2">
      <c r="A285" s="423">
        <f>124+1+1+3</f>
        <v>129</v>
      </c>
      <c r="B285" s="425" t="s">
        <v>23</v>
      </c>
      <c r="C285" s="426" t="s">
        <v>0</v>
      </c>
      <c r="D285" s="427">
        <v>105</v>
      </c>
      <c r="E285" s="400"/>
      <c r="F285" s="400"/>
      <c r="G285" s="400"/>
      <c r="H285" s="400"/>
      <c r="I285" s="207" t="s">
        <v>114</v>
      </c>
      <c r="J285" s="212" t="s">
        <v>115</v>
      </c>
      <c r="K285" s="213">
        <v>1</v>
      </c>
      <c r="L285" s="208" t="s">
        <v>20</v>
      </c>
    </row>
    <row r="286" spans="1:12" ht="39.950000000000003" customHeight="1" x14ac:dyDescent="0.2">
      <c r="A286" s="423"/>
      <c r="B286" s="425"/>
      <c r="C286" s="426"/>
      <c r="D286" s="427"/>
      <c r="E286" s="401"/>
      <c r="F286" s="401"/>
      <c r="G286" s="401"/>
      <c r="H286" s="401"/>
      <c r="I286" s="207" t="s">
        <v>22</v>
      </c>
      <c r="J286" s="212" t="s">
        <v>0</v>
      </c>
      <c r="K286" s="213">
        <v>105</v>
      </c>
      <c r="L286" s="208" t="s">
        <v>20</v>
      </c>
    </row>
    <row r="287" spans="1:12" s="174" customFormat="1" ht="39.950000000000003" customHeight="1" x14ac:dyDescent="0.2">
      <c r="A287" s="430">
        <f>125+1+1+3</f>
        <v>130</v>
      </c>
      <c r="B287" s="414" t="s">
        <v>24</v>
      </c>
      <c r="C287" s="435" t="s">
        <v>19</v>
      </c>
      <c r="D287" s="438">
        <v>6</v>
      </c>
      <c r="E287" s="397"/>
      <c r="F287" s="397"/>
      <c r="G287" s="397"/>
      <c r="H287" s="397"/>
      <c r="I287" s="198" t="s">
        <v>127</v>
      </c>
      <c r="J287" s="196" t="s">
        <v>19</v>
      </c>
      <c r="K287" s="223">
        <v>6</v>
      </c>
      <c r="L287" s="224" t="s">
        <v>20</v>
      </c>
    </row>
    <row r="288" spans="1:12" s="174" customFormat="1" ht="39.950000000000003" customHeight="1" x14ac:dyDescent="0.2">
      <c r="A288" s="431"/>
      <c r="B288" s="433"/>
      <c r="C288" s="436"/>
      <c r="D288" s="439"/>
      <c r="E288" s="398"/>
      <c r="F288" s="398"/>
      <c r="G288" s="398"/>
      <c r="H288" s="398"/>
      <c r="I288" s="225" t="s">
        <v>126</v>
      </c>
      <c r="J288" s="196" t="s">
        <v>19</v>
      </c>
      <c r="K288" s="223">
        <v>6</v>
      </c>
      <c r="L288" s="224" t="s">
        <v>20</v>
      </c>
    </row>
    <row r="289" spans="1:12" s="174" customFormat="1" ht="39.950000000000003" customHeight="1" x14ac:dyDescent="0.2">
      <c r="A289" s="432"/>
      <c r="B289" s="434"/>
      <c r="C289" s="437"/>
      <c r="D289" s="440"/>
      <c r="E289" s="399"/>
      <c r="F289" s="399"/>
      <c r="G289" s="399"/>
      <c r="H289" s="399"/>
      <c r="I289" s="225" t="s">
        <v>128</v>
      </c>
      <c r="J289" s="196" t="s">
        <v>19</v>
      </c>
      <c r="K289" s="223">
        <v>12</v>
      </c>
      <c r="L289" s="224" t="s">
        <v>20</v>
      </c>
    </row>
    <row r="290" spans="1:12" s="3" customFormat="1" ht="39.950000000000003" customHeight="1" x14ac:dyDescent="0.3">
      <c r="A290" s="430">
        <f>126+1+1+3</f>
        <v>131</v>
      </c>
      <c r="B290" s="414" t="s">
        <v>55</v>
      </c>
      <c r="C290" s="435" t="s">
        <v>19</v>
      </c>
      <c r="D290" s="438">
        <v>1</v>
      </c>
      <c r="E290" s="228"/>
      <c r="F290" s="228"/>
      <c r="G290" s="228"/>
      <c r="H290" s="228"/>
      <c r="I290" s="198" t="s">
        <v>127</v>
      </c>
      <c r="J290" s="229" t="s">
        <v>19</v>
      </c>
      <c r="K290" s="213">
        <v>1</v>
      </c>
      <c r="L290" s="224" t="s">
        <v>20</v>
      </c>
    </row>
    <row r="291" spans="1:12" s="3" customFormat="1" ht="39.950000000000003" customHeight="1" x14ac:dyDescent="0.3">
      <c r="A291" s="431"/>
      <c r="B291" s="433"/>
      <c r="C291" s="436"/>
      <c r="D291" s="439"/>
      <c r="E291" s="230"/>
      <c r="F291" s="230"/>
      <c r="G291" s="230"/>
      <c r="H291" s="230"/>
      <c r="I291" s="225" t="s">
        <v>125</v>
      </c>
      <c r="J291" s="229" t="s">
        <v>19</v>
      </c>
      <c r="K291" s="213">
        <v>1</v>
      </c>
      <c r="L291" s="224" t="s">
        <v>20</v>
      </c>
    </row>
    <row r="292" spans="1:12" s="3" customFormat="1" ht="39.950000000000003" customHeight="1" x14ac:dyDescent="0.3">
      <c r="A292" s="432"/>
      <c r="B292" s="434"/>
      <c r="C292" s="437"/>
      <c r="D292" s="440"/>
      <c r="E292" s="231"/>
      <c r="F292" s="231"/>
      <c r="G292" s="231"/>
      <c r="H292" s="231"/>
      <c r="I292" s="225" t="s">
        <v>128</v>
      </c>
      <c r="J292" s="229" t="s">
        <v>19</v>
      </c>
      <c r="K292" s="213">
        <v>1</v>
      </c>
      <c r="L292" s="224" t="s">
        <v>20</v>
      </c>
    </row>
    <row r="293" spans="1:12" s="174" customFormat="1" ht="39.950000000000003" customHeight="1" x14ac:dyDescent="0.2">
      <c r="A293" s="411">
        <f>127+1+1+3</f>
        <v>132</v>
      </c>
      <c r="B293" s="414" t="s">
        <v>146</v>
      </c>
      <c r="C293" s="417" t="s">
        <v>0</v>
      </c>
      <c r="D293" s="420">
        <v>17</v>
      </c>
      <c r="E293" s="397"/>
      <c r="F293" s="397"/>
      <c r="G293" s="397"/>
      <c r="H293" s="397"/>
      <c r="I293" s="261" t="s">
        <v>114</v>
      </c>
      <c r="J293" s="229" t="s">
        <v>115</v>
      </c>
      <c r="K293" s="213">
        <v>1</v>
      </c>
      <c r="L293" s="224" t="s">
        <v>20</v>
      </c>
    </row>
    <row r="294" spans="1:12" ht="39.950000000000003" customHeight="1" x14ac:dyDescent="0.2">
      <c r="A294" s="412"/>
      <c r="B294" s="415"/>
      <c r="C294" s="418"/>
      <c r="D294" s="421"/>
      <c r="E294" s="398"/>
      <c r="F294" s="398"/>
      <c r="G294" s="398"/>
      <c r="H294" s="398"/>
      <c r="I294" s="207" t="s">
        <v>25</v>
      </c>
      <c r="J294" s="212" t="s">
        <v>0</v>
      </c>
      <c r="K294" s="213">
        <v>17</v>
      </c>
      <c r="L294" s="208" t="s">
        <v>20</v>
      </c>
    </row>
    <row r="295" spans="1:12" ht="39.950000000000003" customHeight="1" x14ac:dyDescent="0.2">
      <c r="A295" s="413"/>
      <c r="B295" s="416"/>
      <c r="C295" s="419"/>
      <c r="D295" s="422"/>
      <c r="E295" s="399"/>
      <c r="F295" s="399"/>
      <c r="G295" s="399"/>
      <c r="H295" s="399"/>
      <c r="I295" s="207" t="s">
        <v>66</v>
      </c>
      <c r="J295" s="212" t="s">
        <v>19</v>
      </c>
      <c r="K295" s="213">
        <v>17</v>
      </c>
      <c r="L295" s="208" t="s">
        <v>20</v>
      </c>
    </row>
    <row r="296" spans="1:12" ht="39.950000000000003" customHeight="1" x14ac:dyDescent="0.2">
      <c r="A296" s="317">
        <f>128+1+1+3</f>
        <v>133</v>
      </c>
      <c r="B296" s="250" t="s">
        <v>141</v>
      </c>
      <c r="C296" s="320" t="s">
        <v>0</v>
      </c>
      <c r="D296" s="321">
        <v>22</v>
      </c>
      <c r="E296" s="256"/>
      <c r="F296" s="256"/>
      <c r="G296" s="256"/>
      <c r="H296" s="256"/>
      <c r="I296" s="319" t="s">
        <v>25</v>
      </c>
      <c r="J296" s="212" t="s">
        <v>0</v>
      </c>
      <c r="K296" s="213">
        <v>22</v>
      </c>
      <c r="L296" s="320" t="s">
        <v>20</v>
      </c>
    </row>
    <row r="297" spans="1:12" s="178" customFormat="1" ht="39.950000000000003" customHeight="1" x14ac:dyDescent="0.2">
      <c r="A297" s="423">
        <f>130+1+1+3</f>
        <v>135</v>
      </c>
      <c r="B297" s="425" t="s">
        <v>61</v>
      </c>
      <c r="C297" s="426" t="s">
        <v>19</v>
      </c>
      <c r="D297" s="420">
        <v>2</v>
      </c>
      <c r="E297" s="310"/>
      <c r="F297" s="310"/>
      <c r="G297" s="310"/>
      <c r="H297" s="310"/>
      <c r="I297" s="319" t="s">
        <v>62</v>
      </c>
      <c r="J297" s="212" t="s">
        <v>19</v>
      </c>
      <c r="K297" s="213">
        <v>19</v>
      </c>
      <c r="L297" s="320" t="s">
        <v>20</v>
      </c>
    </row>
    <row r="298" spans="1:12" s="178" customFormat="1" ht="39.950000000000003" customHeight="1" x14ac:dyDescent="0.2">
      <c r="A298" s="423"/>
      <c r="B298" s="425"/>
      <c r="C298" s="426"/>
      <c r="D298" s="422"/>
      <c r="E298" s="311"/>
      <c r="F298" s="311"/>
      <c r="G298" s="311"/>
      <c r="H298" s="311"/>
      <c r="I298" s="316" t="s">
        <v>63</v>
      </c>
      <c r="J298" s="237" t="s">
        <v>19</v>
      </c>
      <c r="K298" s="223">
        <v>19</v>
      </c>
      <c r="L298" s="320" t="s">
        <v>20</v>
      </c>
    </row>
    <row r="299" spans="1:12" ht="39.950000000000003" customHeight="1" x14ac:dyDescent="0.3">
      <c r="A299" s="187"/>
      <c r="B299" s="253" t="s">
        <v>82</v>
      </c>
      <c r="C299" s="189"/>
      <c r="D299" s="190"/>
      <c r="E299" s="189"/>
      <c r="F299" s="189"/>
      <c r="G299" s="189"/>
      <c r="H299" s="189"/>
      <c r="I299" s="189"/>
      <c r="J299" s="189"/>
      <c r="K299" s="205"/>
      <c r="L299" s="189"/>
    </row>
    <row r="300" spans="1:12" ht="39.950000000000003" customHeight="1" x14ac:dyDescent="0.3">
      <c r="A300" s="206">
        <f>131+1+1+3</f>
        <v>136</v>
      </c>
      <c r="B300" s="319" t="s">
        <v>148</v>
      </c>
      <c r="C300" s="208" t="s">
        <v>19</v>
      </c>
      <c r="D300" s="209">
        <v>2</v>
      </c>
      <c r="E300" s="210"/>
      <c r="F300" s="210"/>
      <c r="G300" s="210"/>
      <c r="H300" s="210"/>
      <c r="I300" s="211"/>
      <c r="J300" s="212"/>
      <c r="K300" s="213"/>
      <c r="L300" s="208" t="s">
        <v>20</v>
      </c>
    </row>
    <row r="301" spans="1:12" ht="39.950000000000003" customHeight="1" x14ac:dyDescent="0.2">
      <c r="A301" s="411">
        <f>132+1+1+3</f>
        <v>137</v>
      </c>
      <c r="B301" s="445" t="s">
        <v>50</v>
      </c>
      <c r="C301" s="417" t="s">
        <v>0</v>
      </c>
      <c r="D301" s="446">
        <v>6</v>
      </c>
      <c r="E301" s="405"/>
      <c r="F301" s="405"/>
      <c r="G301" s="405"/>
      <c r="H301" s="405"/>
      <c r="I301" s="211" t="s">
        <v>51</v>
      </c>
      <c r="J301" s="212" t="s">
        <v>0</v>
      </c>
      <c r="K301" s="213">
        <v>6</v>
      </c>
      <c r="L301" s="208" t="s">
        <v>20</v>
      </c>
    </row>
    <row r="302" spans="1:12" ht="39.950000000000003" customHeight="1" x14ac:dyDescent="0.2">
      <c r="A302" s="412"/>
      <c r="B302" s="415"/>
      <c r="C302" s="418"/>
      <c r="D302" s="448"/>
      <c r="E302" s="406"/>
      <c r="F302" s="406"/>
      <c r="G302" s="406"/>
      <c r="H302" s="406"/>
      <c r="I302" s="211" t="s">
        <v>116</v>
      </c>
      <c r="J302" s="272" t="s">
        <v>19</v>
      </c>
      <c r="K302" s="273">
        <v>1</v>
      </c>
      <c r="L302" s="274" t="s">
        <v>20</v>
      </c>
    </row>
    <row r="303" spans="1:12" ht="39.950000000000003" customHeight="1" x14ac:dyDescent="0.2">
      <c r="A303" s="412"/>
      <c r="B303" s="415"/>
      <c r="C303" s="418"/>
      <c r="D303" s="448"/>
      <c r="E303" s="406"/>
      <c r="F303" s="406"/>
      <c r="G303" s="406"/>
      <c r="H303" s="406"/>
      <c r="I303" s="211" t="s">
        <v>117</v>
      </c>
      <c r="J303" s="272" t="s">
        <v>19</v>
      </c>
      <c r="K303" s="273">
        <v>1</v>
      </c>
      <c r="L303" s="274" t="s">
        <v>20</v>
      </c>
    </row>
    <row r="304" spans="1:12" ht="39.950000000000003" customHeight="1" x14ac:dyDescent="0.2">
      <c r="A304" s="413"/>
      <c r="B304" s="416"/>
      <c r="C304" s="419"/>
      <c r="D304" s="447"/>
      <c r="E304" s="407"/>
      <c r="F304" s="407"/>
      <c r="G304" s="407"/>
      <c r="H304" s="407"/>
      <c r="I304" s="211" t="s">
        <v>57</v>
      </c>
      <c r="J304" s="212" t="s">
        <v>19</v>
      </c>
      <c r="K304" s="213">
        <v>1</v>
      </c>
      <c r="L304" s="208" t="s">
        <v>20</v>
      </c>
    </row>
    <row r="305" spans="1:12" ht="39.950000000000003" customHeight="1" x14ac:dyDescent="0.3">
      <c r="A305" s="317">
        <f>133+1+1+3</f>
        <v>138</v>
      </c>
      <c r="B305" s="319" t="s">
        <v>69</v>
      </c>
      <c r="C305" s="320" t="s">
        <v>19</v>
      </c>
      <c r="D305" s="315">
        <v>1</v>
      </c>
      <c r="E305" s="328"/>
      <c r="F305" s="328"/>
      <c r="G305" s="328"/>
      <c r="H305" s="328"/>
      <c r="I305" s="211" t="s">
        <v>70</v>
      </c>
      <c r="J305" s="212" t="s">
        <v>19</v>
      </c>
      <c r="K305" s="213">
        <v>1</v>
      </c>
      <c r="L305" s="320" t="s">
        <v>20</v>
      </c>
    </row>
    <row r="306" spans="1:12" s="3" customFormat="1" ht="39.950000000000003" customHeight="1" x14ac:dyDescent="0.2">
      <c r="A306" s="245">
        <f>134+1+1+3</f>
        <v>139</v>
      </c>
      <c r="B306" s="218" t="s">
        <v>21</v>
      </c>
      <c r="C306" s="219" t="s">
        <v>0</v>
      </c>
      <c r="D306" s="220">
        <v>46</v>
      </c>
      <c r="E306" s="221"/>
      <c r="F306" s="221"/>
      <c r="G306" s="221"/>
      <c r="H306" s="221"/>
      <c r="I306" s="207" t="s">
        <v>22</v>
      </c>
      <c r="J306" s="212" t="s">
        <v>0</v>
      </c>
      <c r="K306" s="213">
        <v>46</v>
      </c>
      <c r="L306" s="208" t="s">
        <v>20</v>
      </c>
    </row>
    <row r="307" spans="1:12" s="3" customFormat="1" ht="39.950000000000003" customHeight="1" x14ac:dyDescent="0.2">
      <c r="A307" s="411">
        <f>135+1+1+3</f>
        <v>140</v>
      </c>
      <c r="B307" s="445" t="s">
        <v>23</v>
      </c>
      <c r="C307" s="417" t="s">
        <v>0</v>
      </c>
      <c r="D307" s="420">
        <v>25</v>
      </c>
      <c r="E307" s="400"/>
      <c r="F307" s="400"/>
      <c r="G307" s="400"/>
      <c r="H307" s="400"/>
      <c r="I307" s="207" t="s">
        <v>114</v>
      </c>
      <c r="J307" s="212" t="s">
        <v>115</v>
      </c>
      <c r="K307" s="213">
        <v>1</v>
      </c>
      <c r="L307" s="208" t="s">
        <v>20</v>
      </c>
    </row>
    <row r="308" spans="1:12" ht="39.950000000000003" customHeight="1" x14ac:dyDescent="0.2">
      <c r="A308" s="413"/>
      <c r="B308" s="416"/>
      <c r="C308" s="419"/>
      <c r="D308" s="422"/>
      <c r="E308" s="401"/>
      <c r="F308" s="401"/>
      <c r="G308" s="401"/>
      <c r="H308" s="401"/>
      <c r="I308" s="207" t="s">
        <v>22</v>
      </c>
      <c r="J308" s="212" t="s">
        <v>0</v>
      </c>
      <c r="K308" s="213">
        <v>25</v>
      </c>
      <c r="L308" s="208" t="s">
        <v>20</v>
      </c>
    </row>
    <row r="309" spans="1:12" s="174" customFormat="1" ht="39.950000000000003" customHeight="1" x14ac:dyDescent="0.2">
      <c r="A309" s="430">
        <f>136+1+1+3</f>
        <v>141</v>
      </c>
      <c r="B309" s="414" t="s">
        <v>24</v>
      </c>
      <c r="C309" s="435" t="s">
        <v>19</v>
      </c>
      <c r="D309" s="438">
        <v>1</v>
      </c>
      <c r="E309" s="397"/>
      <c r="F309" s="397"/>
      <c r="G309" s="397"/>
      <c r="H309" s="397"/>
      <c r="I309" s="198" t="s">
        <v>127</v>
      </c>
      <c r="J309" s="196" t="s">
        <v>19</v>
      </c>
      <c r="K309" s="223">
        <v>1</v>
      </c>
      <c r="L309" s="224" t="s">
        <v>20</v>
      </c>
    </row>
    <row r="310" spans="1:12" s="174" customFormat="1" ht="39.950000000000003" customHeight="1" x14ac:dyDescent="0.2">
      <c r="A310" s="431"/>
      <c r="B310" s="433"/>
      <c r="C310" s="436"/>
      <c r="D310" s="439"/>
      <c r="E310" s="398"/>
      <c r="F310" s="398"/>
      <c r="G310" s="398"/>
      <c r="H310" s="398"/>
      <c r="I310" s="225" t="s">
        <v>126</v>
      </c>
      <c r="J310" s="196" t="s">
        <v>19</v>
      </c>
      <c r="K310" s="223">
        <v>1</v>
      </c>
      <c r="L310" s="224" t="s">
        <v>20</v>
      </c>
    </row>
    <row r="311" spans="1:12" s="174" customFormat="1" ht="39.950000000000003" customHeight="1" x14ac:dyDescent="0.2">
      <c r="A311" s="432"/>
      <c r="B311" s="434"/>
      <c r="C311" s="437"/>
      <c r="D311" s="440"/>
      <c r="E311" s="399"/>
      <c r="F311" s="399"/>
      <c r="G311" s="399"/>
      <c r="H311" s="399"/>
      <c r="I311" s="225" t="s">
        <v>128</v>
      </c>
      <c r="J311" s="196" t="s">
        <v>19</v>
      </c>
      <c r="K311" s="223">
        <v>2</v>
      </c>
      <c r="L311" s="224" t="s">
        <v>20</v>
      </c>
    </row>
    <row r="312" spans="1:12" s="174" customFormat="1" ht="39.950000000000003" customHeight="1" x14ac:dyDescent="0.3">
      <c r="A312" s="430">
        <f>137+1+1+3</f>
        <v>142</v>
      </c>
      <c r="B312" s="414" t="s">
        <v>55</v>
      </c>
      <c r="C312" s="435" t="s">
        <v>19</v>
      </c>
      <c r="D312" s="438">
        <v>1</v>
      </c>
      <c r="E312" s="228"/>
      <c r="F312" s="228"/>
      <c r="G312" s="228"/>
      <c r="H312" s="228"/>
      <c r="I312" s="198" t="s">
        <v>127</v>
      </c>
      <c r="J312" s="229" t="s">
        <v>19</v>
      </c>
      <c r="K312" s="213">
        <v>1</v>
      </c>
      <c r="L312" s="224" t="s">
        <v>20</v>
      </c>
    </row>
    <row r="313" spans="1:12" s="174" customFormat="1" ht="39.950000000000003" customHeight="1" x14ac:dyDescent="0.3">
      <c r="A313" s="431"/>
      <c r="B313" s="433"/>
      <c r="C313" s="436"/>
      <c r="D313" s="439"/>
      <c r="E313" s="230"/>
      <c r="F313" s="230"/>
      <c r="G313" s="230"/>
      <c r="H313" s="230"/>
      <c r="I313" s="225" t="s">
        <v>125</v>
      </c>
      <c r="J313" s="229" t="s">
        <v>19</v>
      </c>
      <c r="K313" s="213">
        <v>1</v>
      </c>
      <c r="L313" s="224" t="s">
        <v>20</v>
      </c>
    </row>
    <row r="314" spans="1:12" s="174" customFormat="1" ht="39.950000000000003" customHeight="1" x14ac:dyDescent="0.3">
      <c r="A314" s="432"/>
      <c r="B314" s="434"/>
      <c r="C314" s="437"/>
      <c r="D314" s="440"/>
      <c r="E314" s="231"/>
      <c r="F314" s="231"/>
      <c r="G314" s="231"/>
      <c r="H314" s="231"/>
      <c r="I314" s="225" t="s">
        <v>128</v>
      </c>
      <c r="J314" s="229" t="s">
        <v>19</v>
      </c>
      <c r="K314" s="213">
        <v>1</v>
      </c>
      <c r="L314" s="224" t="s">
        <v>20</v>
      </c>
    </row>
    <row r="315" spans="1:12" ht="39.950000000000003" customHeight="1" x14ac:dyDescent="0.2">
      <c r="A315" s="317">
        <f>138+1+1+3</f>
        <v>143</v>
      </c>
      <c r="B315" s="250" t="s">
        <v>141</v>
      </c>
      <c r="C315" s="320" t="s">
        <v>0</v>
      </c>
      <c r="D315" s="321">
        <v>3</v>
      </c>
      <c r="E315" s="256"/>
      <c r="F315" s="256"/>
      <c r="G315" s="256"/>
      <c r="H315" s="256"/>
      <c r="I315" s="319" t="s">
        <v>25</v>
      </c>
      <c r="J315" s="212" t="s">
        <v>0</v>
      </c>
      <c r="K315" s="213">
        <v>3</v>
      </c>
      <c r="L315" s="320" t="s">
        <v>20</v>
      </c>
    </row>
    <row r="316" spans="1:12" ht="39.950000000000003" customHeight="1" x14ac:dyDescent="0.2">
      <c r="A316" s="423">
        <f>139+1+1+3</f>
        <v>144</v>
      </c>
      <c r="B316" s="425" t="s">
        <v>61</v>
      </c>
      <c r="C316" s="426" t="s">
        <v>19</v>
      </c>
      <c r="D316" s="427">
        <v>4</v>
      </c>
      <c r="E316" s="310"/>
      <c r="F316" s="310"/>
      <c r="G316" s="310"/>
      <c r="H316" s="310"/>
      <c r="I316" s="319" t="s">
        <v>62</v>
      </c>
      <c r="J316" s="212" t="s">
        <v>19</v>
      </c>
      <c r="K316" s="213">
        <v>4</v>
      </c>
      <c r="L316" s="320" t="s">
        <v>20</v>
      </c>
    </row>
    <row r="317" spans="1:12" ht="39.950000000000003" customHeight="1" x14ac:dyDescent="0.2">
      <c r="A317" s="423"/>
      <c r="B317" s="425"/>
      <c r="C317" s="426"/>
      <c r="D317" s="427"/>
      <c r="E317" s="311"/>
      <c r="F317" s="311"/>
      <c r="G317" s="311"/>
      <c r="H317" s="311"/>
      <c r="I317" s="316" t="s">
        <v>63</v>
      </c>
      <c r="J317" s="237" t="s">
        <v>19</v>
      </c>
      <c r="K317" s="223">
        <v>4</v>
      </c>
      <c r="L317" s="320" t="s">
        <v>20</v>
      </c>
    </row>
    <row r="318" spans="1:12" ht="39.950000000000003" customHeight="1" x14ac:dyDescent="0.3">
      <c r="A318" s="187"/>
      <c r="B318" s="253" t="s">
        <v>83</v>
      </c>
      <c r="C318" s="189"/>
      <c r="D318" s="190"/>
      <c r="E318" s="189"/>
      <c r="F318" s="189"/>
      <c r="G318" s="189"/>
      <c r="H318" s="189"/>
      <c r="I318" s="189"/>
      <c r="J318" s="189"/>
      <c r="K318" s="205"/>
      <c r="L318" s="189"/>
    </row>
    <row r="319" spans="1:12" s="178" customFormat="1" ht="39.950000000000003" customHeight="1" x14ac:dyDescent="0.3">
      <c r="A319" s="206">
        <f>140+1+1+3</f>
        <v>145</v>
      </c>
      <c r="B319" s="319" t="s">
        <v>148</v>
      </c>
      <c r="C319" s="208" t="s">
        <v>19</v>
      </c>
      <c r="D319" s="209">
        <v>2</v>
      </c>
      <c r="E319" s="210"/>
      <c r="F319" s="210"/>
      <c r="G319" s="210"/>
      <c r="H319" s="210"/>
      <c r="I319" s="211"/>
      <c r="J319" s="212"/>
      <c r="K319" s="213"/>
      <c r="L319" s="208" t="s">
        <v>20</v>
      </c>
    </row>
    <row r="320" spans="1:12" s="178" customFormat="1" ht="39.950000000000003" customHeight="1" x14ac:dyDescent="0.2">
      <c r="A320" s="411">
        <f>141+1+1+3</f>
        <v>146</v>
      </c>
      <c r="B320" s="445" t="s">
        <v>50</v>
      </c>
      <c r="C320" s="417" t="s">
        <v>0</v>
      </c>
      <c r="D320" s="446">
        <v>12</v>
      </c>
      <c r="E320" s="405"/>
      <c r="F320" s="405"/>
      <c r="G320" s="405"/>
      <c r="H320" s="405"/>
      <c r="I320" s="211" t="s">
        <v>51</v>
      </c>
      <c r="J320" s="212" t="s">
        <v>0</v>
      </c>
      <c r="K320" s="213">
        <v>12</v>
      </c>
      <c r="L320" s="208" t="s">
        <v>20</v>
      </c>
    </row>
    <row r="321" spans="1:12" s="178" customFormat="1" ht="39.950000000000003" customHeight="1" x14ac:dyDescent="0.2">
      <c r="A321" s="412"/>
      <c r="B321" s="415"/>
      <c r="C321" s="418"/>
      <c r="D321" s="448"/>
      <c r="E321" s="406"/>
      <c r="F321" s="406"/>
      <c r="G321" s="406"/>
      <c r="H321" s="406"/>
      <c r="I321" s="211" t="s">
        <v>116</v>
      </c>
      <c r="J321" s="212" t="s">
        <v>19</v>
      </c>
      <c r="K321" s="213">
        <v>3</v>
      </c>
      <c r="L321" s="208" t="s">
        <v>20</v>
      </c>
    </row>
    <row r="322" spans="1:12" s="178" customFormat="1" ht="39.950000000000003" customHeight="1" x14ac:dyDescent="0.2">
      <c r="A322" s="412"/>
      <c r="B322" s="415"/>
      <c r="C322" s="418"/>
      <c r="D322" s="448"/>
      <c r="E322" s="406"/>
      <c r="F322" s="406"/>
      <c r="G322" s="406"/>
      <c r="H322" s="406"/>
      <c r="I322" s="211" t="s">
        <v>117</v>
      </c>
      <c r="J322" s="212" t="s">
        <v>19</v>
      </c>
      <c r="K322" s="213">
        <v>2</v>
      </c>
      <c r="L322" s="208" t="s">
        <v>20</v>
      </c>
    </row>
    <row r="323" spans="1:12" s="178" customFormat="1" ht="39.950000000000003" customHeight="1" x14ac:dyDescent="0.2">
      <c r="A323" s="412"/>
      <c r="B323" s="415"/>
      <c r="C323" s="418"/>
      <c r="D323" s="448"/>
      <c r="E323" s="406"/>
      <c r="F323" s="406"/>
      <c r="G323" s="406"/>
      <c r="H323" s="406"/>
      <c r="I323" s="211" t="s">
        <v>118</v>
      </c>
      <c r="J323" s="212" t="s">
        <v>19</v>
      </c>
      <c r="K323" s="213">
        <v>2</v>
      </c>
      <c r="L323" s="208" t="s">
        <v>20</v>
      </c>
    </row>
    <row r="324" spans="1:12" s="178" customFormat="1" ht="39.950000000000003" customHeight="1" x14ac:dyDescent="0.2">
      <c r="A324" s="413"/>
      <c r="B324" s="416"/>
      <c r="C324" s="419"/>
      <c r="D324" s="447"/>
      <c r="E324" s="407"/>
      <c r="F324" s="407"/>
      <c r="G324" s="407"/>
      <c r="H324" s="407"/>
      <c r="I324" s="211" t="s">
        <v>57</v>
      </c>
      <c r="J324" s="212" t="s">
        <v>19</v>
      </c>
      <c r="K324" s="213">
        <v>1</v>
      </c>
      <c r="L324" s="208" t="s">
        <v>20</v>
      </c>
    </row>
    <row r="325" spans="1:12" ht="39.950000000000003" customHeight="1" x14ac:dyDescent="0.3">
      <c r="A325" s="254">
        <f>142+1+1+3</f>
        <v>147</v>
      </c>
      <c r="B325" s="215" t="s">
        <v>69</v>
      </c>
      <c r="C325" s="216" t="s">
        <v>19</v>
      </c>
      <c r="D325" s="217">
        <v>1</v>
      </c>
      <c r="E325" s="248"/>
      <c r="F325" s="248"/>
      <c r="G325" s="248"/>
      <c r="H325" s="248"/>
      <c r="I325" s="211" t="s">
        <v>70</v>
      </c>
      <c r="J325" s="212" t="s">
        <v>19</v>
      </c>
      <c r="K325" s="213">
        <v>1</v>
      </c>
      <c r="L325" s="208" t="s">
        <v>20</v>
      </c>
    </row>
    <row r="326" spans="1:12" ht="39.950000000000003" customHeight="1" x14ac:dyDescent="0.2">
      <c r="A326" s="245">
        <f>143+1+1+3</f>
        <v>148</v>
      </c>
      <c r="B326" s="218" t="s">
        <v>21</v>
      </c>
      <c r="C326" s="219" t="s">
        <v>0</v>
      </c>
      <c r="D326" s="220">
        <v>114</v>
      </c>
      <c r="E326" s="221"/>
      <c r="F326" s="221"/>
      <c r="G326" s="221"/>
      <c r="H326" s="221"/>
      <c r="I326" s="207" t="s">
        <v>22</v>
      </c>
      <c r="J326" s="212" t="s">
        <v>0</v>
      </c>
      <c r="K326" s="213">
        <v>114</v>
      </c>
      <c r="L326" s="208" t="s">
        <v>20</v>
      </c>
    </row>
    <row r="327" spans="1:12" ht="39.950000000000003" customHeight="1" x14ac:dyDescent="0.2">
      <c r="A327" s="411">
        <f>144+1+1+3</f>
        <v>149</v>
      </c>
      <c r="B327" s="445" t="s">
        <v>23</v>
      </c>
      <c r="C327" s="417" t="s">
        <v>0</v>
      </c>
      <c r="D327" s="420">
        <v>69</v>
      </c>
      <c r="E327" s="400"/>
      <c r="F327" s="400"/>
      <c r="G327" s="400"/>
      <c r="H327" s="400"/>
      <c r="I327" s="207" t="s">
        <v>114</v>
      </c>
      <c r="J327" s="212" t="s">
        <v>115</v>
      </c>
      <c r="K327" s="213">
        <v>1</v>
      </c>
      <c r="L327" s="208" t="s">
        <v>20</v>
      </c>
    </row>
    <row r="328" spans="1:12" ht="39.950000000000003" customHeight="1" x14ac:dyDescent="0.2">
      <c r="A328" s="413"/>
      <c r="B328" s="416"/>
      <c r="C328" s="419"/>
      <c r="D328" s="422"/>
      <c r="E328" s="401"/>
      <c r="F328" s="401"/>
      <c r="G328" s="401"/>
      <c r="H328" s="401"/>
      <c r="I328" s="207" t="s">
        <v>22</v>
      </c>
      <c r="J328" s="212" t="s">
        <v>0</v>
      </c>
      <c r="K328" s="213">
        <v>69</v>
      </c>
      <c r="L328" s="208" t="s">
        <v>20</v>
      </c>
    </row>
    <row r="329" spans="1:12" s="174" customFormat="1" ht="39.950000000000003" customHeight="1" x14ac:dyDescent="0.2">
      <c r="A329" s="430">
        <f>145+1+1+3</f>
        <v>150</v>
      </c>
      <c r="B329" s="414" t="s">
        <v>24</v>
      </c>
      <c r="C329" s="435" t="s">
        <v>19</v>
      </c>
      <c r="D329" s="438">
        <v>3</v>
      </c>
      <c r="E329" s="397"/>
      <c r="F329" s="397"/>
      <c r="G329" s="397"/>
      <c r="H329" s="397"/>
      <c r="I329" s="198" t="s">
        <v>127</v>
      </c>
      <c r="J329" s="196" t="s">
        <v>19</v>
      </c>
      <c r="K329" s="223">
        <v>3</v>
      </c>
      <c r="L329" s="224" t="s">
        <v>20</v>
      </c>
    </row>
    <row r="330" spans="1:12" s="174" customFormat="1" ht="39.950000000000003" customHeight="1" x14ac:dyDescent="0.2">
      <c r="A330" s="431"/>
      <c r="B330" s="433"/>
      <c r="C330" s="436"/>
      <c r="D330" s="439"/>
      <c r="E330" s="398"/>
      <c r="F330" s="398"/>
      <c r="G330" s="398"/>
      <c r="H330" s="398"/>
      <c r="I330" s="225" t="s">
        <v>126</v>
      </c>
      <c r="J330" s="196" t="s">
        <v>19</v>
      </c>
      <c r="K330" s="223">
        <v>3</v>
      </c>
      <c r="L330" s="224" t="s">
        <v>20</v>
      </c>
    </row>
    <row r="331" spans="1:12" s="174" customFormat="1" ht="39.950000000000003" customHeight="1" x14ac:dyDescent="0.2">
      <c r="A331" s="432"/>
      <c r="B331" s="434"/>
      <c r="C331" s="437"/>
      <c r="D331" s="440"/>
      <c r="E331" s="399"/>
      <c r="F331" s="399"/>
      <c r="G331" s="399"/>
      <c r="H331" s="399"/>
      <c r="I331" s="225" t="s">
        <v>128</v>
      </c>
      <c r="J331" s="196" t="s">
        <v>19</v>
      </c>
      <c r="K331" s="223">
        <v>6</v>
      </c>
      <c r="L331" s="224" t="s">
        <v>20</v>
      </c>
    </row>
    <row r="332" spans="1:12" s="3" customFormat="1" ht="39.950000000000003" customHeight="1" x14ac:dyDescent="0.3">
      <c r="A332" s="449">
        <f>146+1+1+3</f>
        <v>151</v>
      </c>
      <c r="B332" s="414" t="s">
        <v>55</v>
      </c>
      <c r="C332" s="435" t="s">
        <v>19</v>
      </c>
      <c r="D332" s="438">
        <v>1</v>
      </c>
      <c r="E332" s="228"/>
      <c r="F332" s="228"/>
      <c r="G332" s="228"/>
      <c r="H332" s="228"/>
      <c r="I332" s="198" t="s">
        <v>127</v>
      </c>
      <c r="J332" s="229" t="s">
        <v>19</v>
      </c>
      <c r="K332" s="213">
        <v>1</v>
      </c>
      <c r="L332" s="224" t="s">
        <v>20</v>
      </c>
    </row>
    <row r="333" spans="1:12" s="3" customFormat="1" ht="39.950000000000003" customHeight="1" x14ac:dyDescent="0.3">
      <c r="A333" s="449"/>
      <c r="B333" s="433"/>
      <c r="C333" s="436"/>
      <c r="D333" s="439"/>
      <c r="E333" s="230"/>
      <c r="F333" s="230"/>
      <c r="G333" s="230"/>
      <c r="H333" s="230"/>
      <c r="I333" s="225" t="s">
        <v>125</v>
      </c>
      <c r="J333" s="229" t="s">
        <v>19</v>
      </c>
      <c r="K333" s="213">
        <v>1</v>
      </c>
      <c r="L333" s="224" t="s">
        <v>20</v>
      </c>
    </row>
    <row r="334" spans="1:12" s="3" customFormat="1" ht="39.950000000000003" customHeight="1" x14ac:dyDescent="0.3">
      <c r="A334" s="449"/>
      <c r="B334" s="434"/>
      <c r="C334" s="437"/>
      <c r="D334" s="440"/>
      <c r="E334" s="231"/>
      <c r="F334" s="231"/>
      <c r="G334" s="231"/>
      <c r="H334" s="231"/>
      <c r="I334" s="225" t="s">
        <v>128</v>
      </c>
      <c r="J334" s="229" t="s">
        <v>19</v>
      </c>
      <c r="K334" s="213">
        <v>1</v>
      </c>
      <c r="L334" s="224" t="s">
        <v>20</v>
      </c>
    </row>
    <row r="335" spans="1:12" s="174" customFormat="1" ht="39.950000000000003" customHeight="1" x14ac:dyDescent="0.2">
      <c r="A335" s="423">
        <f>147+1+1+3</f>
        <v>152</v>
      </c>
      <c r="B335" s="424" t="s">
        <v>143</v>
      </c>
      <c r="C335" s="426" t="s">
        <v>0</v>
      </c>
      <c r="D335" s="427">
        <v>21</v>
      </c>
      <c r="E335" s="397"/>
      <c r="F335" s="397"/>
      <c r="G335" s="397"/>
      <c r="H335" s="397"/>
      <c r="I335" s="261" t="s">
        <v>114</v>
      </c>
      <c r="J335" s="229" t="s">
        <v>115</v>
      </c>
      <c r="K335" s="213">
        <v>1</v>
      </c>
      <c r="L335" s="224" t="s">
        <v>20</v>
      </c>
    </row>
    <row r="336" spans="1:12" ht="39.950000000000003" customHeight="1" x14ac:dyDescent="0.2">
      <c r="A336" s="423"/>
      <c r="B336" s="425"/>
      <c r="C336" s="426"/>
      <c r="D336" s="427"/>
      <c r="E336" s="398"/>
      <c r="F336" s="398"/>
      <c r="G336" s="398"/>
      <c r="H336" s="398"/>
      <c r="I336" s="207" t="s">
        <v>25</v>
      </c>
      <c r="J336" s="212" t="s">
        <v>0</v>
      </c>
      <c r="K336" s="213">
        <v>21</v>
      </c>
      <c r="L336" s="208" t="s">
        <v>20</v>
      </c>
    </row>
    <row r="337" spans="1:12" ht="39.950000000000003" customHeight="1" x14ac:dyDescent="0.2">
      <c r="A337" s="423"/>
      <c r="B337" s="425"/>
      <c r="C337" s="426"/>
      <c r="D337" s="427"/>
      <c r="E337" s="399"/>
      <c r="F337" s="399"/>
      <c r="G337" s="399"/>
      <c r="H337" s="399"/>
      <c r="I337" s="207" t="s">
        <v>66</v>
      </c>
      <c r="J337" s="212" t="s">
        <v>19</v>
      </c>
      <c r="K337" s="213">
        <v>21</v>
      </c>
      <c r="L337" s="208" t="s">
        <v>20</v>
      </c>
    </row>
    <row r="338" spans="1:12" ht="39.950000000000003" customHeight="1" x14ac:dyDescent="0.2">
      <c r="A338" s="317">
        <f>148+1+1+3</f>
        <v>153</v>
      </c>
      <c r="B338" s="250" t="s">
        <v>141</v>
      </c>
      <c r="C338" s="320" t="s">
        <v>0</v>
      </c>
      <c r="D338" s="321">
        <v>23</v>
      </c>
      <c r="E338" s="256"/>
      <c r="F338" s="256"/>
      <c r="G338" s="256"/>
      <c r="H338" s="256"/>
      <c r="I338" s="319" t="s">
        <v>25</v>
      </c>
      <c r="J338" s="212" t="s">
        <v>0</v>
      </c>
      <c r="K338" s="213">
        <v>23</v>
      </c>
      <c r="L338" s="320" t="s">
        <v>20</v>
      </c>
    </row>
    <row r="339" spans="1:12" ht="39.950000000000003" customHeight="1" x14ac:dyDescent="0.2">
      <c r="A339" s="423">
        <f>150+1+1+3</f>
        <v>155</v>
      </c>
      <c r="B339" s="425" t="s">
        <v>61</v>
      </c>
      <c r="C339" s="426" t="s">
        <v>19</v>
      </c>
      <c r="D339" s="427">
        <v>10</v>
      </c>
      <c r="E339" s="310"/>
      <c r="F339" s="310"/>
      <c r="G339" s="310"/>
      <c r="H339" s="310"/>
      <c r="I339" s="319" t="s">
        <v>62</v>
      </c>
      <c r="J339" s="212" t="s">
        <v>19</v>
      </c>
      <c r="K339" s="213">
        <v>10</v>
      </c>
      <c r="L339" s="320" t="s">
        <v>20</v>
      </c>
    </row>
    <row r="340" spans="1:12" ht="39.950000000000003" customHeight="1" x14ac:dyDescent="0.2">
      <c r="A340" s="423"/>
      <c r="B340" s="425"/>
      <c r="C340" s="426"/>
      <c r="D340" s="427"/>
      <c r="E340" s="311"/>
      <c r="F340" s="311"/>
      <c r="G340" s="311"/>
      <c r="H340" s="311"/>
      <c r="I340" s="316" t="s">
        <v>63</v>
      </c>
      <c r="J340" s="237" t="s">
        <v>19</v>
      </c>
      <c r="K340" s="223">
        <v>10</v>
      </c>
      <c r="L340" s="320" t="s">
        <v>20</v>
      </c>
    </row>
    <row r="341" spans="1:12" ht="39.950000000000003" customHeight="1" x14ac:dyDescent="0.3">
      <c r="A341" s="187"/>
      <c r="B341" s="253" t="s">
        <v>84</v>
      </c>
      <c r="C341" s="189"/>
      <c r="D341" s="190"/>
      <c r="E341" s="189"/>
      <c r="F341" s="189"/>
      <c r="G341" s="189"/>
      <c r="H341" s="189"/>
      <c r="I341" s="189"/>
      <c r="J341" s="189"/>
      <c r="K341" s="205"/>
      <c r="L341" s="189"/>
    </row>
    <row r="342" spans="1:12" ht="39.950000000000003" customHeight="1" x14ac:dyDescent="0.3">
      <c r="A342" s="206">
        <f>151+1+1+3</f>
        <v>156</v>
      </c>
      <c r="B342" s="319" t="s">
        <v>148</v>
      </c>
      <c r="C342" s="208" t="s">
        <v>19</v>
      </c>
      <c r="D342" s="209">
        <v>2</v>
      </c>
      <c r="E342" s="210"/>
      <c r="F342" s="210"/>
      <c r="G342" s="210"/>
      <c r="H342" s="210"/>
      <c r="I342" s="211"/>
      <c r="J342" s="212"/>
      <c r="K342" s="213"/>
      <c r="L342" s="208" t="s">
        <v>20</v>
      </c>
    </row>
    <row r="343" spans="1:12" ht="39.950000000000003" customHeight="1" x14ac:dyDescent="0.2">
      <c r="A343" s="411">
        <f>152+1+1+3</f>
        <v>157</v>
      </c>
      <c r="B343" s="445" t="s">
        <v>50</v>
      </c>
      <c r="C343" s="417" t="s">
        <v>0</v>
      </c>
      <c r="D343" s="446">
        <v>13</v>
      </c>
      <c r="E343" s="405"/>
      <c r="F343" s="405"/>
      <c r="G343" s="405"/>
      <c r="H343" s="405"/>
      <c r="I343" s="211" t="s">
        <v>51</v>
      </c>
      <c r="J343" s="212" t="s">
        <v>0</v>
      </c>
      <c r="K343" s="213">
        <v>13</v>
      </c>
      <c r="L343" s="208" t="s">
        <v>20</v>
      </c>
    </row>
    <row r="344" spans="1:12" ht="39.950000000000003" customHeight="1" x14ac:dyDescent="0.2">
      <c r="A344" s="412"/>
      <c r="B344" s="415"/>
      <c r="C344" s="418"/>
      <c r="D344" s="448"/>
      <c r="E344" s="406"/>
      <c r="F344" s="406"/>
      <c r="G344" s="406"/>
      <c r="H344" s="406"/>
      <c r="I344" s="211" t="s">
        <v>116</v>
      </c>
      <c r="J344" s="212" t="s">
        <v>19</v>
      </c>
      <c r="K344" s="213">
        <v>2</v>
      </c>
      <c r="L344" s="208" t="s">
        <v>20</v>
      </c>
    </row>
    <row r="345" spans="1:12" ht="39.950000000000003" customHeight="1" x14ac:dyDescent="0.2">
      <c r="A345" s="412"/>
      <c r="B345" s="415"/>
      <c r="C345" s="418"/>
      <c r="D345" s="448"/>
      <c r="E345" s="406"/>
      <c r="F345" s="406"/>
      <c r="G345" s="406"/>
      <c r="H345" s="406"/>
      <c r="I345" s="211" t="s">
        <v>119</v>
      </c>
      <c r="J345" s="212" t="s">
        <v>19</v>
      </c>
      <c r="K345" s="213">
        <v>2</v>
      </c>
      <c r="L345" s="208" t="s">
        <v>20</v>
      </c>
    </row>
    <row r="346" spans="1:12" ht="39.950000000000003" customHeight="1" x14ac:dyDescent="0.2">
      <c r="A346" s="413"/>
      <c r="B346" s="416"/>
      <c r="C346" s="419"/>
      <c r="D346" s="447"/>
      <c r="E346" s="407"/>
      <c r="F346" s="407"/>
      <c r="G346" s="407"/>
      <c r="H346" s="407"/>
      <c r="I346" s="211" t="s">
        <v>57</v>
      </c>
      <c r="J346" s="212" t="s">
        <v>19</v>
      </c>
      <c r="K346" s="213">
        <v>1</v>
      </c>
      <c r="L346" s="208" t="s">
        <v>20</v>
      </c>
    </row>
    <row r="347" spans="1:12" ht="39.950000000000003" customHeight="1" x14ac:dyDescent="0.3">
      <c r="A347" s="254">
        <f>153+1+1+3</f>
        <v>158</v>
      </c>
      <c r="B347" s="215" t="s">
        <v>69</v>
      </c>
      <c r="C347" s="216" t="s">
        <v>19</v>
      </c>
      <c r="D347" s="217">
        <v>1</v>
      </c>
      <c r="E347" s="248"/>
      <c r="F347" s="248"/>
      <c r="G347" s="248"/>
      <c r="H347" s="248"/>
      <c r="I347" s="211" t="s">
        <v>70</v>
      </c>
      <c r="J347" s="212" t="s">
        <v>19</v>
      </c>
      <c r="K347" s="213">
        <v>1</v>
      </c>
      <c r="L347" s="208" t="s">
        <v>20</v>
      </c>
    </row>
    <row r="348" spans="1:12" ht="39.950000000000003" customHeight="1" x14ac:dyDescent="0.2">
      <c r="A348" s="245">
        <f>154+1+1+3</f>
        <v>159</v>
      </c>
      <c r="B348" s="218" t="s">
        <v>21</v>
      </c>
      <c r="C348" s="219" t="s">
        <v>0</v>
      </c>
      <c r="D348" s="220">
        <v>47</v>
      </c>
      <c r="E348" s="221"/>
      <c r="F348" s="221"/>
      <c r="G348" s="221"/>
      <c r="H348" s="221"/>
      <c r="I348" s="207" t="s">
        <v>22</v>
      </c>
      <c r="J348" s="212" t="s">
        <v>0</v>
      </c>
      <c r="K348" s="213">
        <v>47</v>
      </c>
      <c r="L348" s="208" t="s">
        <v>20</v>
      </c>
    </row>
    <row r="349" spans="1:12" ht="39.950000000000003" customHeight="1" x14ac:dyDescent="0.2">
      <c r="A349" s="411">
        <f>155+1+1+3</f>
        <v>160</v>
      </c>
      <c r="B349" s="445" t="s">
        <v>23</v>
      </c>
      <c r="C349" s="417" t="s">
        <v>0</v>
      </c>
      <c r="D349" s="420">
        <v>108</v>
      </c>
      <c r="E349" s="400"/>
      <c r="F349" s="400"/>
      <c r="G349" s="400"/>
      <c r="H349" s="400"/>
      <c r="I349" s="207" t="s">
        <v>114</v>
      </c>
      <c r="J349" s="212" t="s">
        <v>115</v>
      </c>
      <c r="K349" s="213">
        <v>1</v>
      </c>
      <c r="L349" s="208" t="s">
        <v>20</v>
      </c>
    </row>
    <row r="350" spans="1:12" ht="39.950000000000003" customHeight="1" x14ac:dyDescent="0.2">
      <c r="A350" s="413"/>
      <c r="B350" s="416"/>
      <c r="C350" s="419"/>
      <c r="D350" s="422"/>
      <c r="E350" s="401"/>
      <c r="F350" s="401"/>
      <c r="G350" s="401"/>
      <c r="H350" s="401"/>
      <c r="I350" s="207" t="s">
        <v>22</v>
      </c>
      <c r="J350" s="212" t="s">
        <v>0</v>
      </c>
      <c r="K350" s="213">
        <v>108</v>
      </c>
      <c r="L350" s="208" t="s">
        <v>20</v>
      </c>
    </row>
    <row r="351" spans="1:12" s="174" customFormat="1" ht="39.950000000000003" customHeight="1" x14ac:dyDescent="0.2">
      <c r="A351" s="430">
        <f>156+1+1+3</f>
        <v>161</v>
      </c>
      <c r="B351" s="414" t="s">
        <v>24</v>
      </c>
      <c r="C351" s="435" t="s">
        <v>19</v>
      </c>
      <c r="D351" s="438">
        <v>4</v>
      </c>
      <c r="E351" s="397"/>
      <c r="F351" s="397"/>
      <c r="G351" s="397"/>
      <c r="H351" s="397"/>
      <c r="I351" s="198" t="s">
        <v>127</v>
      </c>
      <c r="J351" s="196" t="s">
        <v>19</v>
      </c>
      <c r="K351" s="223">
        <v>4</v>
      </c>
      <c r="L351" s="224" t="s">
        <v>20</v>
      </c>
    </row>
    <row r="352" spans="1:12" s="174" customFormat="1" ht="39.950000000000003" customHeight="1" x14ac:dyDescent="0.2">
      <c r="A352" s="431"/>
      <c r="B352" s="433"/>
      <c r="C352" s="436"/>
      <c r="D352" s="439"/>
      <c r="E352" s="398"/>
      <c r="F352" s="398"/>
      <c r="G352" s="398"/>
      <c r="H352" s="398"/>
      <c r="I352" s="225" t="s">
        <v>126</v>
      </c>
      <c r="J352" s="196" t="s">
        <v>19</v>
      </c>
      <c r="K352" s="223">
        <v>4</v>
      </c>
      <c r="L352" s="224" t="s">
        <v>20</v>
      </c>
    </row>
    <row r="353" spans="1:12" s="174" customFormat="1" ht="39.950000000000003" customHeight="1" x14ac:dyDescent="0.2">
      <c r="A353" s="432"/>
      <c r="B353" s="434"/>
      <c r="C353" s="437"/>
      <c r="D353" s="440"/>
      <c r="E353" s="399"/>
      <c r="F353" s="399"/>
      <c r="G353" s="399"/>
      <c r="H353" s="399"/>
      <c r="I353" s="225" t="s">
        <v>128</v>
      </c>
      <c r="J353" s="196" t="s">
        <v>19</v>
      </c>
      <c r="K353" s="223">
        <v>8</v>
      </c>
      <c r="L353" s="224" t="s">
        <v>20</v>
      </c>
    </row>
    <row r="354" spans="1:12" s="3" customFormat="1" ht="39.950000000000003" customHeight="1" x14ac:dyDescent="0.3">
      <c r="A354" s="430">
        <f>157+1+1+3</f>
        <v>162</v>
      </c>
      <c r="B354" s="414" t="s">
        <v>55</v>
      </c>
      <c r="C354" s="435" t="s">
        <v>19</v>
      </c>
      <c r="D354" s="438">
        <v>1</v>
      </c>
      <c r="E354" s="228"/>
      <c r="F354" s="228"/>
      <c r="G354" s="228"/>
      <c r="H354" s="228"/>
      <c r="I354" s="198" t="s">
        <v>127</v>
      </c>
      <c r="J354" s="229" t="s">
        <v>19</v>
      </c>
      <c r="K354" s="213">
        <v>1</v>
      </c>
      <c r="L354" s="224" t="s">
        <v>20</v>
      </c>
    </row>
    <row r="355" spans="1:12" s="3" customFormat="1" ht="39.950000000000003" customHeight="1" x14ac:dyDescent="0.3">
      <c r="A355" s="431"/>
      <c r="B355" s="433"/>
      <c r="C355" s="436"/>
      <c r="D355" s="439"/>
      <c r="E355" s="230"/>
      <c r="F355" s="230"/>
      <c r="G355" s="230"/>
      <c r="H355" s="230"/>
      <c r="I355" s="225" t="s">
        <v>125</v>
      </c>
      <c r="J355" s="229" t="s">
        <v>19</v>
      </c>
      <c r="K355" s="213">
        <v>1</v>
      </c>
      <c r="L355" s="224" t="s">
        <v>20</v>
      </c>
    </row>
    <row r="356" spans="1:12" s="3" customFormat="1" ht="39.950000000000003" customHeight="1" x14ac:dyDescent="0.3">
      <c r="A356" s="432"/>
      <c r="B356" s="434"/>
      <c r="C356" s="437"/>
      <c r="D356" s="440"/>
      <c r="E356" s="231"/>
      <c r="F356" s="231"/>
      <c r="G356" s="231"/>
      <c r="H356" s="231"/>
      <c r="I356" s="225" t="s">
        <v>128</v>
      </c>
      <c r="J356" s="229" t="s">
        <v>19</v>
      </c>
      <c r="K356" s="213">
        <v>1</v>
      </c>
      <c r="L356" s="224" t="s">
        <v>20</v>
      </c>
    </row>
    <row r="357" spans="1:12" s="174" customFormat="1" ht="39.950000000000003" customHeight="1" x14ac:dyDescent="0.3">
      <c r="A357" s="411">
        <f>158+1+1+3</f>
        <v>163</v>
      </c>
      <c r="B357" s="414" t="s">
        <v>143</v>
      </c>
      <c r="C357" s="417" t="s">
        <v>0</v>
      </c>
      <c r="D357" s="420">
        <v>31</v>
      </c>
      <c r="E357" s="255"/>
      <c r="F357" s="255"/>
      <c r="G357" s="255"/>
      <c r="H357" s="255"/>
      <c r="I357" s="261" t="s">
        <v>114</v>
      </c>
      <c r="J357" s="229" t="s">
        <v>115</v>
      </c>
      <c r="K357" s="213">
        <v>1</v>
      </c>
      <c r="L357" s="224" t="s">
        <v>20</v>
      </c>
    </row>
    <row r="358" spans="1:12" ht="39.950000000000003" customHeight="1" x14ac:dyDescent="0.2">
      <c r="A358" s="412"/>
      <c r="B358" s="415"/>
      <c r="C358" s="418"/>
      <c r="D358" s="421"/>
      <c r="E358" s="256"/>
      <c r="F358" s="256"/>
      <c r="G358" s="256"/>
      <c r="H358" s="256"/>
      <c r="I358" s="207" t="s">
        <v>25</v>
      </c>
      <c r="J358" s="212" t="s">
        <v>0</v>
      </c>
      <c r="K358" s="213">
        <v>31</v>
      </c>
      <c r="L358" s="208" t="s">
        <v>20</v>
      </c>
    </row>
    <row r="359" spans="1:12" ht="39.950000000000003" customHeight="1" x14ac:dyDescent="0.2">
      <c r="A359" s="413"/>
      <c r="B359" s="416"/>
      <c r="C359" s="419"/>
      <c r="D359" s="422"/>
      <c r="E359" s="256"/>
      <c r="F359" s="256"/>
      <c r="G359" s="256"/>
      <c r="H359" s="256"/>
      <c r="I359" s="207" t="s">
        <v>66</v>
      </c>
      <c r="J359" s="212" t="s">
        <v>19</v>
      </c>
      <c r="K359" s="213">
        <v>31</v>
      </c>
      <c r="L359" s="208" t="s">
        <v>20</v>
      </c>
    </row>
    <row r="360" spans="1:12" ht="39.950000000000003" customHeight="1" x14ac:dyDescent="0.2">
      <c r="A360" s="317">
        <f>159+1+1+3</f>
        <v>164</v>
      </c>
      <c r="B360" s="250" t="s">
        <v>141</v>
      </c>
      <c r="C360" s="320" t="s">
        <v>0</v>
      </c>
      <c r="D360" s="321">
        <v>13</v>
      </c>
      <c r="E360" s="256"/>
      <c r="F360" s="256"/>
      <c r="G360" s="256"/>
      <c r="H360" s="256"/>
      <c r="I360" s="319" t="s">
        <v>25</v>
      </c>
      <c r="J360" s="212" t="s">
        <v>0</v>
      </c>
      <c r="K360" s="213">
        <v>13</v>
      </c>
      <c r="L360" s="320" t="s">
        <v>20</v>
      </c>
    </row>
    <row r="361" spans="1:12" ht="39.950000000000003" customHeight="1" x14ac:dyDescent="0.2">
      <c r="A361" s="423">
        <f>161+1+1+3</f>
        <v>166</v>
      </c>
      <c r="B361" s="425" t="s">
        <v>61</v>
      </c>
      <c r="C361" s="426" t="s">
        <v>19</v>
      </c>
      <c r="D361" s="427">
        <v>13</v>
      </c>
      <c r="E361" s="310"/>
      <c r="F361" s="310"/>
      <c r="G361" s="310"/>
      <c r="H361" s="310"/>
      <c r="I361" s="319" t="s">
        <v>62</v>
      </c>
      <c r="J361" s="212" t="s">
        <v>19</v>
      </c>
      <c r="K361" s="213">
        <v>13</v>
      </c>
      <c r="L361" s="320" t="s">
        <v>20</v>
      </c>
    </row>
    <row r="362" spans="1:12" ht="39.950000000000003" customHeight="1" x14ac:dyDescent="0.2">
      <c r="A362" s="423"/>
      <c r="B362" s="425"/>
      <c r="C362" s="426"/>
      <c r="D362" s="427"/>
      <c r="E362" s="311"/>
      <c r="F362" s="311"/>
      <c r="G362" s="311"/>
      <c r="H362" s="311"/>
      <c r="I362" s="316" t="s">
        <v>63</v>
      </c>
      <c r="J362" s="237" t="s">
        <v>19</v>
      </c>
      <c r="K362" s="223">
        <v>13</v>
      </c>
      <c r="L362" s="320" t="s">
        <v>20</v>
      </c>
    </row>
    <row r="363" spans="1:12" ht="39.950000000000003" customHeight="1" x14ac:dyDescent="0.3">
      <c r="A363" s="329"/>
      <c r="B363" s="240" t="s">
        <v>85</v>
      </c>
      <c r="C363" s="330"/>
      <c r="D363" s="331"/>
      <c r="E363" s="330"/>
      <c r="F363" s="330"/>
      <c r="G363" s="330"/>
      <c r="H363" s="330"/>
      <c r="I363" s="330"/>
      <c r="J363" s="330"/>
      <c r="K363" s="332"/>
      <c r="L363" s="330"/>
    </row>
    <row r="364" spans="1:12" ht="39.950000000000003" customHeight="1" x14ac:dyDescent="0.3">
      <c r="A364" s="206">
        <f>162+1+1+3</f>
        <v>167</v>
      </c>
      <c r="B364" s="319" t="s">
        <v>148</v>
      </c>
      <c r="C364" s="208" t="s">
        <v>19</v>
      </c>
      <c r="D364" s="209">
        <v>2</v>
      </c>
      <c r="E364" s="210"/>
      <c r="F364" s="210"/>
      <c r="G364" s="210"/>
      <c r="H364" s="210"/>
      <c r="I364" s="211"/>
      <c r="J364" s="212"/>
      <c r="K364" s="213"/>
      <c r="L364" s="208" t="s">
        <v>20</v>
      </c>
    </row>
    <row r="365" spans="1:12" ht="39.950000000000003" customHeight="1" x14ac:dyDescent="0.2">
      <c r="A365" s="411">
        <f>163+1+1+3</f>
        <v>168</v>
      </c>
      <c r="B365" s="445" t="s">
        <v>50</v>
      </c>
      <c r="C365" s="417" t="s">
        <v>0</v>
      </c>
      <c r="D365" s="446">
        <v>13</v>
      </c>
      <c r="E365" s="405"/>
      <c r="F365" s="405"/>
      <c r="G365" s="405"/>
      <c r="H365" s="405"/>
      <c r="I365" s="211" t="s">
        <v>51</v>
      </c>
      <c r="J365" s="212" t="s">
        <v>0</v>
      </c>
      <c r="K365" s="213">
        <v>13</v>
      </c>
      <c r="L365" s="208" t="s">
        <v>20</v>
      </c>
    </row>
    <row r="366" spans="1:12" ht="39.950000000000003" customHeight="1" x14ac:dyDescent="0.2">
      <c r="A366" s="412"/>
      <c r="B366" s="415"/>
      <c r="C366" s="418"/>
      <c r="D366" s="448"/>
      <c r="E366" s="406"/>
      <c r="F366" s="406"/>
      <c r="G366" s="406"/>
      <c r="H366" s="406"/>
      <c r="I366" s="211" t="s">
        <v>116</v>
      </c>
      <c r="J366" s="212" t="s">
        <v>19</v>
      </c>
      <c r="K366" s="213">
        <v>3</v>
      </c>
      <c r="L366" s="208" t="s">
        <v>20</v>
      </c>
    </row>
    <row r="367" spans="1:12" ht="39.950000000000003" customHeight="1" x14ac:dyDescent="0.2">
      <c r="A367" s="412"/>
      <c r="B367" s="415"/>
      <c r="C367" s="418"/>
      <c r="D367" s="448"/>
      <c r="E367" s="406"/>
      <c r="F367" s="406"/>
      <c r="G367" s="406"/>
      <c r="H367" s="406"/>
      <c r="I367" s="211" t="s">
        <v>118</v>
      </c>
      <c r="J367" s="212" t="s">
        <v>19</v>
      </c>
      <c r="K367" s="213">
        <v>1</v>
      </c>
      <c r="L367" s="208" t="s">
        <v>20</v>
      </c>
    </row>
    <row r="368" spans="1:12" ht="39.950000000000003" customHeight="1" x14ac:dyDescent="0.2">
      <c r="A368" s="412"/>
      <c r="B368" s="415"/>
      <c r="C368" s="418"/>
      <c r="D368" s="448"/>
      <c r="E368" s="406"/>
      <c r="F368" s="406"/>
      <c r="G368" s="406"/>
      <c r="H368" s="406"/>
      <c r="I368" s="211" t="s">
        <v>119</v>
      </c>
      <c r="J368" s="212" t="s">
        <v>19</v>
      </c>
      <c r="K368" s="213">
        <v>2</v>
      </c>
      <c r="L368" s="208" t="s">
        <v>20</v>
      </c>
    </row>
    <row r="369" spans="1:12" ht="39.950000000000003" customHeight="1" x14ac:dyDescent="0.2">
      <c r="A369" s="413"/>
      <c r="B369" s="416"/>
      <c r="C369" s="419"/>
      <c r="D369" s="447"/>
      <c r="E369" s="407"/>
      <c r="F369" s="407"/>
      <c r="G369" s="407"/>
      <c r="H369" s="407"/>
      <c r="I369" s="211" t="s">
        <v>57</v>
      </c>
      <c r="J369" s="212" t="s">
        <v>19</v>
      </c>
      <c r="K369" s="213">
        <v>1</v>
      </c>
      <c r="L369" s="208" t="s">
        <v>20</v>
      </c>
    </row>
    <row r="370" spans="1:12" ht="39.950000000000003" customHeight="1" x14ac:dyDescent="0.3">
      <c r="A370" s="254">
        <f>164+1+1+3</f>
        <v>169</v>
      </c>
      <c r="B370" s="215" t="s">
        <v>69</v>
      </c>
      <c r="C370" s="216" t="s">
        <v>19</v>
      </c>
      <c r="D370" s="217">
        <v>1</v>
      </c>
      <c r="E370" s="248"/>
      <c r="F370" s="248"/>
      <c r="G370" s="248"/>
      <c r="H370" s="248"/>
      <c r="I370" s="211" t="s">
        <v>70</v>
      </c>
      <c r="J370" s="212" t="s">
        <v>19</v>
      </c>
      <c r="K370" s="213">
        <v>1</v>
      </c>
      <c r="L370" s="208" t="s">
        <v>20</v>
      </c>
    </row>
    <row r="371" spans="1:12" ht="39.950000000000003" customHeight="1" x14ac:dyDescent="0.2">
      <c r="A371" s="245">
        <f>165+1+1+3</f>
        <v>170</v>
      </c>
      <c r="B371" s="218" t="s">
        <v>21</v>
      </c>
      <c r="C371" s="219" t="s">
        <v>0</v>
      </c>
      <c r="D371" s="220">
        <v>108</v>
      </c>
      <c r="E371" s="221"/>
      <c r="F371" s="221"/>
      <c r="G371" s="221"/>
      <c r="H371" s="221"/>
      <c r="I371" s="207" t="s">
        <v>22</v>
      </c>
      <c r="J371" s="212" t="s">
        <v>0</v>
      </c>
      <c r="K371" s="213">
        <v>108</v>
      </c>
      <c r="L371" s="208" t="s">
        <v>20</v>
      </c>
    </row>
    <row r="372" spans="1:12" ht="39.950000000000003" customHeight="1" x14ac:dyDescent="0.2">
      <c r="A372" s="423">
        <f>166+1+1+3</f>
        <v>171</v>
      </c>
      <c r="B372" s="425" t="s">
        <v>23</v>
      </c>
      <c r="C372" s="426" t="s">
        <v>0</v>
      </c>
      <c r="D372" s="427">
        <v>94</v>
      </c>
      <c r="E372" s="400"/>
      <c r="F372" s="400"/>
      <c r="G372" s="400"/>
      <c r="H372" s="400"/>
      <c r="I372" s="207" t="s">
        <v>114</v>
      </c>
      <c r="J372" s="212" t="s">
        <v>115</v>
      </c>
      <c r="K372" s="213">
        <v>1</v>
      </c>
      <c r="L372" s="208" t="s">
        <v>20</v>
      </c>
    </row>
    <row r="373" spans="1:12" ht="39.950000000000003" customHeight="1" x14ac:dyDescent="0.2">
      <c r="A373" s="423"/>
      <c r="B373" s="425"/>
      <c r="C373" s="426"/>
      <c r="D373" s="427"/>
      <c r="E373" s="401"/>
      <c r="F373" s="401"/>
      <c r="G373" s="401"/>
      <c r="H373" s="401"/>
      <c r="I373" s="207" t="s">
        <v>22</v>
      </c>
      <c r="J373" s="212" t="s">
        <v>0</v>
      </c>
      <c r="K373" s="213">
        <v>94</v>
      </c>
      <c r="L373" s="208" t="s">
        <v>20</v>
      </c>
    </row>
    <row r="374" spans="1:12" s="174" customFormat="1" ht="39.950000000000003" customHeight="1" x14ac:dyDescent="0.2">
      <c r="A374" s="430">
        <f>167+1+1+3</f>
        <v>172</v>
      </c>
      <c r="B374" s="414" t="s">
        <v>24</v>
      </c>
      <c r="C374" s="435" t="s">
        <v>19</v>
      </c>
      <c r="D374" s="438">
        <v>4</v>
      </c>
      <c r="E374" s="397"/>
      <c r="F374" s="397"/>
      <c r="G374" s="397"/>
      <c r="H374" s="397"/>
      <c r="I374" s="198" t="s">
        <v>127</v>
      </c>
      <c r="J374" s="196" t="s">
        <v>19</v>
      </c>
      <c r="K374" s="223">
        <v>4</v>
      </c>
      <c r="L374" s="224" t="s">
        <v>20</v>
      </c>
    </row>
    <row r="375" spans="1:12" s="174" customFormat="1" ht="39.950000000000003" customHeight="1" x14ac:dyDescent="0.2">
      <c r="A375" s="431"/>
      <c r="B375" s="433"/>
      <c r="C375" s="436"/>
      <c r="D375" s="439"/>
      <c r="E375" s="398"/>
      <c r="F375" s="398"/>
      <c r="G375" s="398"/>
      <c r="H375" s="398"/>
      <c r="I375" s="225" t="s">
        <v>126</v>
      </c>
      <c r="J375" s="196" t="s">
        <v>19</v>
      </c>
      <c r="K375" s="223">
        <v>4</v>
      </c>
      <c r="L375" s="224" t="s">
        <v>20</v>
      </c>
    </row>
    <row r="376" spans="1:12" s="174" customFormat="1" ht="39.950000000000003" customHeight="1" x14ac:dyDescent="0.2">
      <c r="A376" s="432"/>
      <c r="B376" s="434"/>
      <c r="C376" s="437"/>
      <c r="D376" s="440"/>
      <c r="E376" s="399"/>
      <c r="F376" s="399"/>
      <c r="G376" s="399"/>
      <c r="H376" s="399"/>
      <c r="I376" s="225" t="s">
        <v>128</v>
      </c>
      <c r="J376" s="196" t="s">
        <v>19</v>
      </c>
      <c r="K376" s="223">
        <v>8</v>
      </c>
      <c r="L376" s="224" t="s">
        <v>20</v>
      </c>
    </row>
    <row r="377" spans="1:12" s="174" customFormat="1" ht="39.950000000000003" customHeight="1" x14ac:dyDescent="0.3">
      <c r="A377" s="430">
        <f>168+1+1+3</f>
        <v>173</v>
      </c>
      <c r="B377" s="414" t="s">
        <v>55</v>
      </c>
      <c r="C377" s="435" t="s">
        <v>19</v>
      </c>
      <c r="D377" s="438">
        <v>1</v>
      </c>
      <c r="E377" s="228"/>
      <c r="F377" s="228"/>
      <c r="G377" s="228"/>
      <c r="H377" s="228"/>
      <c r="I377" s="198" t="s">
        <v>127</v>
      </c>
      <c r="J377" s="229" t="s">
        <v>19</v>
      </c>
      <c r="K377" s="213">
        <v>1</v>
      </c>
      <c r="L377" s="224" t="s">
        <v>20</v>
      </c>
    </row>
    <row r="378" spans="1:12" s="174" customFormat="1" ht="39.950000000000003" customHeight="1" x14ac:dyDescent="0.3">
      <c r="A378" s="431"/>
      <c r="B378" s="433"/>
      <c r="C378" s="436"/>
      <c r="D378" s="439"/>
      <c r="E378" s="230"/>
      <c r="F378" s="230"/>
      <c r="G378" s="230"/>
      <c r="H378" s="230"/>
      <c r="I378" s="225" t="s">
        <v>125</v>
      </c>
      <c r="J378" s="229" t="s">
        <v>19</v>
      </c>
      <c r="K378" s="213">
        <v>1</v>
      </c>
      <c r="L378" s="224" t="s">
        <v>20</v>
      </c>
    </row>
    <row r="379" spans="1:12" s="3" customFormat="1" ht="39.950000000000003" customHeight="1" x14ac:dyDescent="0.3">
      <c r="A379" s="432"/>
      <c r="B379" s="434"/>
      <c r="C379" s="437"/>
      <c r="D379" s="440"/>
      <c r="E379" s="231"/>
      <c r="F379" s="231"/>
      <c r="G379" s="231"/>
      <c r="H379" s="231"/>
      <c r="I379" s="225" t="s">
        <v>128</v>
      </c>
      <c r="J379" s="229" t="s">
        <v>19</v>
      </c>
      <c r="K379" s="213">
        <v>1</v>
      </c>
      <c r="L379" s="224" t="s">
        <v>20</v>
      </c>
    </row>
    <row r="380" spans="1:12" s="3" customFormat="1" ht="39.950000000000003" customHeight="1" x14ac:dyDescent="0.2">
      <c r="A380" s="423">
        <f>169+1+1+3</f>
        <v>174</v>
      </c>
      <c r="B380" s="424" t="s">
        <v>143</v>
      </c>
      <c r="C380" s="426" t="s">
        <v>0</v>
      </c>
      <c r="D380" s="427">
        <v>43</v>
      </c>
      <c r="E380" s="397"/>
      <c r="F380" s="397"/>
      <c r="G380" s="397"/>
      <c r="H380" s="397"/>
      <c r="I380" s="261" t="s">
        <v>114</v>
      </c>
      <c r="J380" s="229" t="s">
        <v>115</v>
      </c>
      <c r="K380" s="213">
        <v>1</v>
      </c>
      <c r="L380" s="224" t="s">
        <v>20</v>
      </c>
    </row>
    <row r="381" spans="1:12" ht="39.950000000000003" customHeight="1" x14ac:dyDescent="0.2">
      <c r="A381" s="423"/>
      <c r="B381" s="425"/>
      <c r="C381" s="426"/>
      <c r="D381" s="427"/>
      <c r="E381" s="398"/>
      <c r="F381" s="398"/>
      <c r="G381" s="398"/>
      <c r="H381" s="398"/>
      <c r="I381" s="207" t="s">
        <v>25</v>
      </c>
      <c r="J381" s="212" t="s">
        <v>0</v>
      </c>
      <c r="K381" s="213">
        <v>43</v>
      </c>
      <c r="L381" s="208" t="s">
        <v>20</v>
      </c>
    </row>
    <row r="382" spans="1:12" ht="39.950000000000003" customHeight="1" x14ac:dyDescent="0.2">
      <c r="A382" s="423"/>
      <c r="B382" s="425"/>
      <c r="C382" s="426"/>
      <c r="D382" s="427"/>
      <c r="E382" s="399"/>
      <c r="F382" s="399"/>
      <c r="G382" s="399"/>
      <c r="H382" s="399"/>
      <c r="I382" s="207" t="s">
        <v>66</v>
      </c>
      <c r="J382" s="212" t="s">
        <v>19</v>
      </c>
      <c r="K382" s="213">
        <v>43</v>
      </c>
      <c r="L382" s="208" t="s">
        <v>20</v>
      </c>
    </row>
    <row r="383" spans="1:12" ht="39.950000000000003" customHeight="1" x14ac:dyDescent="0.2">
      <c r="A383" s="317">
        <f>170+1+1+3</f>
        <v>175</v>
      </c>
      <c r="B383" s="250" t="s">
        <v>141</v>
      </c>
      <c r="C383" s="320" t="s">
        <v>0</v>
      </c>
      <c r="D383" s="321">
        <v>13</v>
      </c>
      <c r="E383" s="256"/>
      <c r="F383" s="256"/>
      <c r="G383" s="256"/>
      <c r="H383" s="256"/>
      <c r="I383" s="319" t="s">
        <v>25</v>
      </c>
      <c r="J383" s="212" t="s">
        <v>0</v>
      </c>
      <c r="K383" s="213">
        <v>13</v>
      </c>
      <c r="L383" s="320" t="s">
        <v>20</v>
      </c>
    </row>
    <row r="384" spans="1:12" s="174" customFormat="1" ht="39.950000000000003" customHeight="1" x14ac:dyDescent="0.2">
      <c r="A384" s="430">
        <f>172+1+1+3</f>
        <v>177</v>
      </c>
      <c r="B384" s="414" t="s">
        <v>61</v>
      </c>
      <c r="C384" s="435" t="s">
        <v>19</v>
      </c>
      <c r="D384" s="438">
        <v>13</v>
      </c>
      <c r="E384" s="312"/>
      <c r="F384" s="312"/>
      <c r="G384" s="312"/>
      <c r="H384" s="312"/>
      <c r="I384" s="318" t="s">
        <v>62</v>
      </c>
      <c r="J384" s="229" t="s">
        <v>19</v>
      </c>
      <c r="K384" s="213">
        <v>13</v>
      </c>
      <c r="L384" s="324" t="s">
        <v>20</v>
      </c>
    </row>
    <row r="385" spans="1:12" s="174" customFormat="1" ht="39.950000000000003" customHeight="1" x14ac:dyDescent="0.2">
      <c r="A385" s="432"/>
      <c r="B385" s="434"/>
      <c r="C385" s="437"/>
      <c r="D385" s="440"/>
      <c r="E385" s="313"/>
      <c r="F385" s="313"/>
      <c r="G385" s="313"/>
      <c r="H385" s="313"/>
      <c r="I385" s="322" t="s">
        <v>63</v>
      </c>
      <c r="J385" s="196" t="s">
        <v>19</v>
      </c>
      <c r="K385" s="223">
        <v>13</v>
      </c>
      <c r="L385" s="324" t="s">
        <v>20</v>
      </c>
    </row>
    <row r="386" spans="1:12" ht="39.950000000000003" customHeight="1" x14ac:dyDescent="0.3">
      <c r="A386" s="187"/>
      <c r="B386" s="253" t="s">
        <v>86</v>
      </c>
      <c r="C386" s="189"/>
      <c r="D386" s="190"/>
      <c r="E386" s="189"/>
      <c r="F386" s="189"/>
      <c r="G386" s="189"/>
      <c r="H386" s="189"/>
      <c r="I386" s="189"/>
      <c r="J386" s="189"/>
      <c r="K386" s="205"/>
      <c r="L386" s="189"/>
    </row>
    <row r="387" spans="1:12" ht="39.950000000000003" customHeight="1" x14ac:dyDescent="0.3">
      <c r="A387" s="206">
        <f>173+1+1+3</f>
        <v>178</v>
      </c>
      <c r="B387" s="319" t="s">
        <v>148</v>
      </c>
      <c r="C387" s="208" t="s">
        <v>19</v>
      </c>
      <c r="D387" s="209">
        <v>2</v>
      </c>
      <c r="E387" s="210"/>
      <c r="F387" s="210"/>
      <c r="G387" s="210"/>
      <c r="H387" s="210"/>
      <c r="I387" s="211"/>
      <c r="J387" s="212"/>
      <c r="K387" s="213"/>
      <c r="L387" s="208" t="s">
        <v>20</v>
      </c>
    </row>
    <row r="388" spans="1:12" ht="39.950000000000003" customHeight="1" x14ac:dyDescent="0.2">
      <c r="A388" s="411">
        <f>174+1+1+3</f>
        <v>179</v>
      </c>
      <c r="B388" s="445" t="s">
        <v>50</v>
      </c>
      <c r="C388" s="417" t="s">
        <v>0</v>
      </c>
      <c r="D388" s="446">
        <v>16</v>
      </c>
      <c r="E388" s="405"/>
      <c r="F388" s="405"/>
      <c r="G388" s="405"/>
      <c r="H388" s="405"/>
      <c r="I388" s="211" t="s">
        <v>51</v>
      </c>
      <c r="J388" s="212" t="s">
        <v>0</v>
      </c>
      <c r="K388" s="213">
        <v>16</v>
      </c>
      <c r="L388" s="208" t="s">
        <v>20</v>
      </c>
    </row>
    <row r="389" spans="1:12" ht="39.950000000000003" customHeight="1" x14ac:dyDescent="0.2">
      <c r="A389" s="412"/>
      <c r="B389" s="415"/>
      <c r="C389" s="418"/>
      <c r="D389" s="448"/>
      <c r="E389" s="406"/>
      <c r="F389" s="406"/>
      <c r="G389" s="406"/>
      <c r="H389" s="406"/>
      <c r="I389" s="211" t="s">
        <v>117</v>
      </c>
      <c r="J389" s="212" t="s">
        <v>19</v>
      </c>
      <c r="K389" s="213">
        <v>2</v>
      </c>
      <c r="L389" s="208" t="s">
        <v>20</v>
      </c>
    </row>
    <row r="390" spans="1:12" customFormat="1" ht="39.950000000000003" customHeight="1" x14ac:dyDescent="0.25">
      <c r="A390" s="412"/>
      <c r="B390" s="415"/>
      <c r="C390" s="418"/>
      <c r="D390" s="448"/>
      <c r="E390" s="406"/>
      <c r="F390" s="406"/>
      <c r="G390" s="406"/>
      <c r="H390" s="406"/>
      <c r="I390" s="211" t="s">
        <v>120</v>
      </c>
      <c r="J390" s="212" t="s">
        <v>19</v>
      </c>
      <c r="K390" s="213">
        <v>1</v>
      </c>
      <c r="L390" s="208" t="s">
        <v>20</v>
      </c>
    </row>
    <row r="391" spans="1:12" customFormat="1" ht="39.950000000000003" customHeight="1" x14ac:dyDescent="0.25">
      <c r="A391" s="412"/>
      <c r="B391" s="415"/>
      <c r="C391" s="418"/>
      <c r="D391" s="448"/>
      <c r="E391" s="406"/>
      <c r="F391" s="406"/>
      <c r="G391" s="406"/>
      <c r="H391" s="406"/>
      <c r="I391" s="211" t="s">
        <v>121</v>
      </c>
      <c r="J391" s="212" t="s">
        <v>19</v>
      </c>
      <c r="K391" s="213">
        <v>1</v>
      </c>
      <c r="L391" s="208" t="s">
        <v>20</v>
      </c>
    </row>
    <row r="392" spans="1:12" customFormat="1" ht="39.950000000000003" customHeight="1" x14ac:dyDescent="0.25">
      <c r="A392" s="413"/>
      <c r="B392" s="416"/>
      <c r="C392" s="419"/>
      <c r="D392" s="447"/>
      <c r="E392" s="407"/>
      <c r="F392" s="407"/>
      <c r="G392" s="407"/>
      <c r="H392" s="407"/>
      <c r="I392" s="211" t="s">
        <v>57</v>
      </c>
      <c r="J392" s="212" t="s">
        <v>19</v>
      </c>
      <c r="K392" s="213">
        <v>3</v>
      </c>
      <c r="L392" s="208" t="s">
        <v>20</v>
      </c>
    </row>
    <row r="393" spans="1:12" customFormat="1" ht="39.950000000000003" customHeight="1" x14ac:dyDescent="0.3">
      <c r="A393" s="254">
        <f>175+1+1+3</f>
        <v>180</v>
      </c>
      <c r="B393" s="215" t="s">
        <v>69</v>
      </c>
      <c r="C393" s="216" t="s">
        <v>19</v>
      </c>
      <c r="D393" s="217">
        <v>1</v>
      </c>
      <c r="E393" s="248"/>
      <c r="F393" s="248"/>
      <c r="G393" s="248"/>
      <c r="H393" s="248"/>
      <c r="I393" s="211" t="s">
        <v>70</v>
      </c>
      <c r="J393" s="212" t="s">
        <v>19</v>
      </c>
      <c r="K393" s="213">
        <v>1</v>
      </c>
      <c r="L393" s="208" t="s">
        <v>20</v>
      </c>
    </row>
    <row r="394" spans="1:12" ht="39.950000000000003" customHeight="1" x14ac:dyDescent="0.2">
      <c r="A394" s="245">
        <f>176+1+1+3</f>
        <v>181</v>
      </c>
      <c r="B394" s="218" t="s">
        <v>21</v>
      </c>
      <c r="C394" s="219" t="s">
        <v>0</v>
      </c>
      <c r="D394" s="220">
        <v>181</v>
      </c>
      <c r="E394" s="221"/>
      <c r="F394" s="221"/>
      <c r="G394" s="221"/>
      <c r="H394" s="221"/>
      <c r="I394" s="207" t="s">
        <v>22</v>
      </c>
      <c r="J394" s="212" t="s">
        <v>0</v>
      </c>
      <c r="K394" s="213">
        <v>181</v>
      </c>
      <c r="L394" s="208" t="s">
        <v>20</v>
      </c>
    </row>
    <row r="395" spans="1:12" ht="39.950000000000003" customHeight="1" x14ac:dyDescent="0.2">
      <c r="A395" s="411">
        <f>177+1+1+3</f>
        <v>182</v>
      </c>
      <c r="B395" s="445" t="s">
        <v>23</v>
      </c>
      <c r="C395" s="417" t="s">
        <v>0</v>
      </c>
      <c r="D395" s="420">
        <v>94</v>
      </c>
      <c r="E395" s="400"/>
      <c r="F395" s="400"/>
      <c r="G395" s="400"/>
      <c r="H395" s="400"/>
      <c r="I395" s="207" t="s">
        <v>114</v>
      </c>
      <c r="J395" s="212" t="s">
        <v>115</v>
      </c>
      <c r="K395" s="213">
        <v>1</v>
      </c>
      <c r="L395" s="208" t="s">
        <v>20</v>
      </c>
    </row>
    <row r="396" spans="1:12" ht="39.950000000000003" customHeight="1" x14ac:dyDescent="0.2">
      <c r="A396" s="413"/>
      <c r="B396" s="416"/>
      <c r="C396" s="419"/>
      <c r="D396" s="422"/>
      <c r="E396" s="401"/>
      <c r="F396" s="401"/>
      <c r="G396" s="401"/>
      <c r="H396" s="401"/>
      <c r="I396" s="207" t="s">
        <v>22</v>
      </c>
      <c r="J396" s="212" t="s">
        <v>0</v>
      </c>
      <c r="K396" s="213">
        <v>94</v>
      </c>
      <c r="L396" s="208" t="s">
        <v>20</v>
      </c>
    </row>
    <row r="397" spans="1:12" s="174" customFormat="1" ht="39.950000000000003" customHeight="1" x14ac:dyDescent="0.2">
      <c r="A397" s="430">
        <f>178+1+1+3</f>
        <v>183</v>
      </c>
      <c r="B397" s="414" t="s">
        <v>24</v>
      </c>
      <c r="C397" s="435" t="s">
        <v>19</v>
      </c>
      <c r="D397" s="438">
        <v>4</v>
      </c>
      <c r="E397" s="397"/>
      <c r="F397" s="397"/>
      <c r="G397" s="397"/>
      <c r="H397" s="397"/>
      <c r="I397" s="198" t="s">
        <v>127</v>
      </c>
      <c r="J397" s="196" t="s">
        <v>19</v>
      </c>
      <c r="K397" s="223">
        <v>4</v>
      </c>
      <c r="L397" s="224" t="s">
        <v>20</v>
      </c>
    </row>
    <row r="398" spans="1:12" s="174" customFormat="1" ht="39.950000000000003" customHeight="1" x14ac:dyDescent="0.2">
      <c r="A398" s="431"/>
      <c r="B398" s="433"/>
      <c r="C398" s="436"/>
      <c r="D398" s="439"/>
      <c r="E398" s="398"/>
      <c r="F398" s="398"/>
      <c r="G398" s="398"/>
      <c r="H398" s="398"/>
      <c r="I398" s="225" t="s">
        <v>126</v>
      </c>
      <c r="J398" s="196" t="s">
        <v>19</v>
      </c>
      <c r="K398" s="223">
        <v>4</v>
      </c>
      <c r="L398" s="224" t="s">
        <v>20</v>
      </c>
    </row>
    <row r="399" spans="1:12" s="174" customFormat="1" ht="39.950000000000003" customHeight="1" x14ac:dyDescent="0.2">
      <c r="A399" s="432"/>
      <c r="B399" s="434"/>
      <c r="C399" s="437"/>
      <c r="D399" s="440"/>
      <c r="E399" s="399"/>
      <c r="F399" s="399"/>
      <c r="G399" s="399"/>
      <c r="H399" s="399"/>
      <c r="I399" s="225" t="s">
        <v>128</v>
      </c>
      <c r="J399" s="196" t="s">
        <v>19</v>
      </c>
      <c r="K399" s="223">
        <v>8</v>
      </c>
      <c r="L399" s="224" t="s">
        <v>20</v>
      </c>
    </row>
    <row r="400" spans="1:12" s="174" customFormat="1" ht="39.950000000000003" customHeight="1" x14ac:dyDescent="0.3">
      <c r="A400" s="430">
        <f>179+1+1+3</f>
        <v>184</v>
      </c>
      <c r="B400" s="414" t="s">
        <v>55</v>
      </c>
      <c r="C400" s="435" t="s">
        <v>19</v>
      </c>
      <c r="D400" s="438">
        <v>1</v>
      </c>
      <c r="E400" s="228"/>
      <c r="F400" s="228"/>
      <c r="G400" s="228"/>
      <c r="H400" s="228"/>
      <c r="I400" s="198" t="s">
        <v>127</v>
      </c>
      <c r="J400" s="229" t="s">
        <v>19</v>
      </c>
      <c r="K400" s="213">
        <v>1</v>
      </c>
      <c r="L400" s="224" t="s">
        <v>20</v>
      </c>
    </row>
    <row r="401" spans="1:12" s="174" customFormat="1" ht="39.950000000000003" customHeight="1" x14ac:dyDescent="0.3">
      <c r="A401" s="431"/>
      <c r="B401" s="433"/>
      <c r="C401" s="436"/>
      <c r="D401" s="439"/>
      <c r="E401" s="230"/>
      <c r="F401" s="230"/>
      <c r="G401" s="230"/>
      <c r="H401" s="230"/>
      <c r="I401" s="225" t="s">
        <v>125</v>
      </c>
      <c r="J401" s="229" t="s">
        <v>19</v>
      </c>
      <c r="K401" s="213">
        <v>1</v>
      </c>
      <c r="L401" s="224" t="s">
        <v>20</v>
      </c>
    </row>
    <row r="402" spans="1:12" s="174" customFormat="1" ht="39.950000000000003" customHeight="1" x14ac:dyDescent="0.3">
      <c r="A402" s="432"/>
      <c r="B402" s="434"/>
      <c r="C402" s="437"/>
      <c r="D402" s="440"/>
      <c r="E402" s="231"/>
      <c r="F402" s="231"/>
      <c r="G402" s="231"/>
      <c r="H402" s="231"/>
      <c r="I402" s="225" t="s">
        <v>128</v>
      </c>
      <c r="J402" s="229" t="s">
        <v>19</v>
      </c>
      <c r="K402" s="213">
        <v>1</v>
      </c>
      <c r="L402" s="224" t="s">
        <v>20</v>
      </c>
    </row>
    <row r="403" spans="1:12" s="174" customFormat="1" ht="39.950000000000003" customHeight="1" x14ac:dyDescent="0.2">
      <c r="A403" s="423">
        <f>180+1+1+3</f>
        <v>185</v>
      </c>
      <c r="B403" s="424" t="s">
        <v>143</v>
      </c>
      <c r="C403" s="426" t="s">
        <v>0</v>
      </c>
      <c r="D403" s="427">
        <v>50</v>
      </c>
      <c r="E403" s="397"/>
      <c r="F403" s="397"/>
      <c r="G403" s="397"/>
      <c r="H403" s="397"/>
      <c r="I403" s="261" t="s">
        <v>114</v>
      </c>
      <c r="J403" s="229" t="s">
        <v>115</v>
      </c>
      <c r="K403" s="213">
        <v>1</v>
      </c>
      <c r="L403" s="224" t="s">
        <v>20</v>
      </c>
    </row>
    <row r="404" spans="1:12" ht="39.950000000000003" customHeight="1" x14ac:dyDescent="0.2">
      <c r="A404" s="423"/>
      <c r="B404" s="425"/>
      <c r="C404" s="426"/>
      <c r="D404" s="427"/>
      <c r="E404" s="398"/>
      <c r="F404" s="398"/>
      <c r="G404" s="398"/>
      <c r="H404" s="398"/>
      <c r="I404" s="207" t="s">
        <v>25</v>
      </c>
      <c r="J404" s="212" t="s">
        <v>0</v>
      </c>
      <c r="K404" s="213">
        <v>50</v>
      </c>
      <c r="L404" s="208" t="s">
        <v>20</v>
      </c>
    </row>
    <row r="405" spans="1:12" ht="39.950000000000003" customHeight="1" x14ac:dyDescent="0.2">
      <c r="A405" s="423"/>
      <c r="B405" s="425"/>
      <c r="C405" s="426"/>
      <c r="D405" s="427"/>
      <c r="E405" s="399"/>
      <c r="F405" s="399"/>
      <c r="G405" s="399"/>
      <c r="H405" s="399"/>
      <c r="I405" s="207" t="s">
        <v>66</v>
      </c>
      <c r="J405" s="212" t="s">
        <v>19</v>
      </c>
      <c r="K405" s="213">
        <v>50</v>
      </c>
      <c r="L405" s="208" t="s">
        <v>20</v>
      </c>
    </row>
    <row r="406" spans="1:12" ht="39.950000000000003" customHeight="1" x14ac:dyDescent="0.2">
      <c r="A406" s="254">
        <f>181+1+1+3</f>
        <v>186</v>
      </c>
      <c r="B406" s="232" t="s">
        <v>141</v>
      </c>
      <c r="C406" s="216" t="s">
        <v>0</v>
      </c>
      <c r="D406" s="233">
        <v>16</v>
      </c>
      <c r="E406" s="239"/>
      <c r="F406" s="239"/>
      <c r="G406" s="239"/>
      <c r="H406" s="239"/>
      <c r="I406" s="236" t="s">
        <v>25</v>
      </c>
      <c r="J406" s="237" t="s">
        <v>0</v>
      </c>
      <c r="K406" s="223">
        <v>16</v>
      </c>
      <c r="L406" s="208" t="s">
        <v>20</v>
      </c>
    </row>
    <row r="407" spans="1:12" ht="39.950000000000003" customHeight="1" x14ac:dyDescent="0.2">
      <c r="A407" s="423">
        <f>183+1+1+3</f>
        <v>188</v>
      </c>
      <c r="B407" s="425" t="s">
        <v>61</v>
      </c>
      <c r="C407" s="426" t="s">
        <v>19</v>
      </c>
      <c r="D407" s="427">
        <v>13</v>
      </c>
      <c r="E407" s="256"/>
      <c r="F407" s="256"/>
      <c r="G407" s="256"/>
      <c r="H407" s="256"/>
      <c r="I407" s="207" t="s">
        <v>62</v>
      </c>
      <c r="J407" s="212" t="s">
        <v>19</v>
      </c>
      <c r="K407" s="213">
        <v>13</v>
      </c>
      <c r="L407" s="208" t="s">
        <v>20</v>
      </c>
    </row>
    <row r="408" spans="1:12" ht="39.950000000000003" customHeight="1" x14ac:dyDescent="0.2">
      <c r="A408" s="423"/>
      <c r="B408" s="425"/>
      <c r="C408" s="426"/>
      <c r="D408" s="427"/>
      <c r="E408" s="256"/>
      <c r="F408" s="256"/>
      <c r="G408" s="256"/>
      <c r="H408" s="256"/>
      <c r="I408" s="207" t="s">
        <v>63</v>
      </c>
      <c r="J408" s="212" t="s">
        <v>19</v>
      </c>
      <c r="K408" s="213">
        <v>13</v>
      </c>
      <c r="L408" s="208" t="s">
        <v>20</v>
      </c>
    </row>
    <row r="409" spans="1:12" ht="39.950000000000003" customHeight="1" x14ac:dyDescent="0.3">
      <c r="A409" s="187"/>
      <c r="B409" s="240" t="s">
        <v>104</v>
      </c>
      <c r="C409" s="189"/>
      <c r="D409" s="190"/>
      <c r="E409" s="189"/>
      <c r="F409" s="189"/>
      <c r="G409" s="189"/>
      <c r="H409" s="189"/>
      <c r="I409" s="189"/>
      <c r="J409" s="189"/>
      <c r="K409" s="205"/>
      <c r="L409" s="189"/>
    </row>
    <row r="410" spans="1:12" ht="39.950000000000003" customHeight="1" x14ac:dyDescent="0.2">
      <c r="A410" s="275">
        <v>189</v>
      </c>
      <c r="B410" s="207" t="s">
        <v>147</v>
      </c>
      <c r="C410" s="194" t="s">
        <v>19</v>
      </c>
      <c r="D410" s="276">
        <v>1</v>
      </c>
      <c r="E410" s="194"/>
      <c r="F410" s="194"/>
      <c r="G410" s="194"/>
      <c r="H410" s="194"/>
      <c r="I410" s="194"/>
      <c r="J410" s="194"/>
      <c r="K410" s="277"/>
      <c r="L410" s="224" t="s">
        <v>20</v>
      </c>
    </row>
    <row r="411" spans="1:12" ht="39.950000000000003" customHeight="1" x14ac:dyDescent="0.3">
      <c r="A411" s="275">
        <f>173+1+1+1+13</f>
        <v>189</v>
      </c>
      <c r="B411" s="319" t="s">
        <v>148</v>
      </c>
      <c r="C411" s="208" t="s">
        <v>19</v>
      </c>
      <c r="D411" s="209">
        <v>4</v>
      </c>
      <c r="E411" s="210"/>
      <c r="F411" s="210"/>
      <c r="G411" s="210"/>
      <c r="H411" s="210"/>
      <c r="I411" s="211"/>
      <c r="J411" s="212"/>
      <c r="K411" s="213"/>
      <c r="L411" s="208" t="s">
        <v>20</v>
      </c>
    </row>
    <row r="412" spans="1:12" ht="39.950000000000003" customHeight="1" x14ac:dyDescent="0.2">
      <c r="A412" s="428">
        <f>174+1+1+1+13</f>
        <v>190</v>
      </c>
      <c r="B412" s="445" t="s">
        <v>50</v>
      </c>
      <c r="C412" s="417" t="s">
        <v>0</v>
      </c>
      <c r="D412" s="446">
        <v>3.5</v>
      </c>
      <c r="E412" s="405"/>
      <c r="F412" s="405"/>
      <c r="G412" s="405"/>
      <c r="H412" s="405"/>
      <c r="I412" s="211" t="s">
        <v>51</v>
      </c>
      <c r="J412" s="212" t="s">
        <v>0</v>
      </c>
      <c r="K412" s="213">
        <v>3.5</v>
      </c>
      <c r="L412" s="208" t="s">
        <v>20</v>
      </c>
    </row>
    <row r="413" spans="1:12" ht="39.950000000000003" customHeight="1" x14ac:dyDescent="0.2">
      <c r="A413" s="441"/>
      <c r="B413" s="416"/>
      <c r="C413" s="419"/>
      <c r="D413" s="447"/>
      <c r="E413" s="407"/>
      <c r="F413" s="407"/>
      <c r="G413" s="407"/>
      <c r="H413" s="407"/>
      <c r="I413" s="211" t="s">
        <v>57</v>
      </c>
      <c r="J413" s="212" t="s">
        <v>19</v>
      </c>
      <c r="K413" s="213">
        <v>1</v>
      </c>
      <c r="L413" s="208" t="s">
        <v>20</v>
      </c>
    </row>
    <row r="414" spans="1:12" ht="39.950000000000003" customHeight="1" x14ac:dyDescent="0.2">
      <c r="A414" s="275">
        <f>176+1+1+1+13</f>
        <v>192</v>
      </c>
      <c r="B414" s="218" t="s">
        <v>21</v>
      </c>
      <c r="C414" s="219" t="s">
        <v>0</v>
      </c>
      <c r="D414" s="220">
        <v>68</v>
      </c>
      <c r="E414" s="221"/>
      <c r="F414" s="221"/>
      <c r="G414" s="221"/>
      <c r="H414" s="221"/>
      <c r="I414" s="207" t="s">
        <v>22</v>
      </c>
      <c r="J414" s="212" t="s">
        <v>0</v>
      </c>
      <c r="K414" s="213">
        <v>68</v>
      </c>
      <c r="L414" s="208" t="s">
        <v>20</v>
      </c>
    </row>
    <row r="415" spans="1:12" ht="39.950000000000003" customHeight="1" x14ac:dyDescent="0.2">
      <c r="A415" s="428">
        <f>177+1+1+1+13</f>
        <v>193</v>
      </c>
      <c r="B415" s="445" t="s">
        <v>23</v>
      </c>
      <c r="C415" s="417" t="s">
        <v>0</v>
      </c>
      <c r="D415" s="420">
        <v>69</v>
      </c>
      <c r="E415" s="400"/>
      <c r="F415" s="400"/>
      <c r="G415" s="400"/>
      <c r="H415" s="400"/>
      <c r="I415" s="207" t="s">
        <v>114</v>
      </c>
      <c r="J415" s="212" t="s">
        <v>115</v>
      </c>
      <c r="K415" s="213">
        <v>1</v>
      </c>
      <c r="L415" s="208" t="s">
        <v>20</v>
      </c>
    </row>
    <row r="416" spans="1:12" ht="39.950000000000003" customHeight="1" x14ac:dyDescent="0.2">
      <c r="A416" s="441"/>
      <c r="B416" s="416"/>
      <c r="C416" s="419"/>
      <c r="D416" s="422"/>
      <c r="E416" s="401"/>
      <c r="F416" s="401"/>
      <c r="G416" s="401"/>
      <c r="H416" s="401"/>
      <c r="I416" s="207" t="s">
        <v>22</v>
      </c>
      <c r="J416" s="212" t="s">
        <v>0</v>
      </c>
      <c r="K416" s="213">
        <v>69</v>
      </c>
      <c r="L416" s="208" t="s">
        <v>20</v>
      </c>
    </row>
    <row r="417" spans="1:12" s="174" customFormat="1" ht="39.950000000000003" customHeight="1" x14ac:dyDescent="0.2">
      <c r="A417" s="428">
        <f>178+1+1+1+13</f>
        <v>194</v>
      </c>
      <c r="B417" s="414" t="s">
        <v>24</v>
      </c>
      <c r="C417" s="435" t="s">
        <v>19</v>
      </c>
      <c r="D417" s="438">
        <v>1</v>
      </c>
      <c r="E417" s="397"/>
      <c r="F417" s="397"/>
      <c r="G417" s="397"/>
      <c r="H417" s="397"/>
      <c r="I417" s="198" t="s">
        <v>127</v>
      </c>
      <c r="J417" s="196" t="s">
        <v>19</v>
      </c>
      <c r="K417" s="223">
        <v>1</v>
      </c>
      <c r="L417" s="224" t="s">
        <v>20</v>
      </c>
    </row>
    <row r="418" spans="1:12" s="174" customFormat="1" ht="39.950000000000003" customHeight="1" x14ac:dyDescent="0.2">
      <c r="A418" s="429"/>
      <c r="B418" s="433"/>
      <c r="C418" s="436"/>
      <c r="D418" s="439"/>
      <c r="E418" s="398"/>
      <c r="F418" s="398"/>
      <c r="G418" s="398"/>
      <c r="H418" s="398"/>
      <c r="I418" s="225" t="s">
        <v>126</v>
      </c>
      <c r="J418" s="196" t="s">
        <v>19</v>
      </c>
      <c r="K418" s="223">
        <v>1</v>
      </c>
      <c r="L418" s="224" t="s">
        <v>20</v>
      </c>
    </row>
    <row r="419" spans="1:12" s="174" customFormat="1" ht="39.950000000000003" customHeight="1" x14ac:dyDescent="0.2">
      <c r="A419" s="441"/>
      <c r="B419" s="434"/>
      <c r="C419" s="437"/>
      <c r="D419" s="440"/>
      <c r="E419" s="399"/>
      <c r="F419" s="399"/>
      <c r="G419" s="399"/>
      <c r="H419" s="399"/>
      <c r="I419" s="225" t="s">
        <v>128</v>
      </c>
      <c r="J419" s="196" t="s">
        <v>19</v>
      </c>
      <c r="K419" s="223">
        <v>2</v>
      </c>
      <c r="L419" s="224" t="s">
        <v>20</v>
      </c>
    </row>
    <row r="420" spans="1:12" s="174" customFormat="1" ht="39.950000000000003" customHeight="1" x14ac:dyDescent="0.3">
      <c r="A420" s="428">
        <f>179+1+1+1+13</f>
        <v>195</v>
      </c>
      <c r="B420" s="442" t="s">
        <v>55</v>
      </c>
      <c r="C420" s="435" t="s">
        <v>19</v>
      </c>
      <c r="D420" s="438">
        <v>1</v>
      </c>
      <c r="E420" s="228"/>
      <c r="F420" s="228"/>
      <c r="G420" s="228"/>
      <c r="H420" s="228"/>
      <c r="I420" s="198" t="s">
        <v>127</v>
      </c>
      <c r="J420" s="229" t="s">
        <v>19</v>
      </c>
      <c r="K420" s="213">
        <v>1</v>
      </c>
      <c r="L420" s="224" t="s">
        <v>20</v>
      </c>
    </row>
    <row r="421" spans="1:12" s="174" customFormat="1" ht="39.950000000000003" customHeight="1" x14ac:dyDescent="0.3">
      <c r="A421" s="429"/>
      <c r="B421" s="443"/>
      <c r="C421" s="436"/>
      <c r="D421" s="439"/>
      <c r="E421" s="230"/>
      <c r="F421" s="230"/>
      <c r="G421" s="230"/>
      <c r="H421" s="230"/>
      <c r="I421" s="225" t="s">
        <v>125</v>
      </c>
      <c r="J421" s="229" t="s">
        <v>19</v>
      </c>
      <c r="K421" s="213">
        <v>1</v>
      </c>
      <c r="L421" s="224" t="s">
        <v>20</v>
      </c>
    </row>
    <row r="422" spans="1:12" s="174" customFormat="1" ht="39.950000000000003" customHeight="1" x14ac:dyDescent="0.3">
      <c r="A422" s="441"/>
      <c r="B422" s="444"/>
      <c r="C422" s="437"/>
      <c r="D422" s="440"/>
      <c r="E422" s="231"/>
      <c r="F422" s="231"/>
      <c r="G422" s="231"/>
      <c r="H422" s="231"/>
      <c r="I422" s="225" t="s">
        <v>128</v>
      </c>
      <c r="J422" s="229" t="s">
        <v>19</v>
      </c>
      <c r="K422" s="213">
        <v>1</v>
      </c>
      <c r="L422" s="224" t="s">
        <v>20</v>
      </c>
    </row>
    <row r="423" spans="1:12" s="174" customFormat="1" ht="30" customHeight="1" x14ac:dyDescent="0.2">
      <c r="A423" s="428">
        <f>180+1+1+1+13</f>
        <v>196</v>
      </c>
      <c r="B423" s="414" t="s">
        <v>142</v>
      </c>
      <c r="C423" s="417" t="s">
        <v>0</v>
      </c>
      <c r="D423" s="420">
        <v>15</v>
      </c>
      <c r="E423" s="397"/>
      <c r="F423" s="397"/>
      <c r="G423" s="397"/>
      <c r="H423" s="397"/>
      <c r="I423" s="261" t="s">
        <v>114</v>
      </c>
      <c r="J423" s="229" t="s">
        <v>115</v>
      </c>
      <c r="K423" s="213">
        <v>1</v>
      </c>
      <c r="L423" s="224" t="s">
        <v>20</v>
      </c>
    </row>
    <row r="424" spans="1:12" ht="33.75" customHeight="1" x14ac:dyDescent="0.2">
      <c r="A424" s="429"/>
      <c r="B424" s="415"/>
      <c r="C424" s="418"/>
      <c r="D424" s="421"/>
      <c r="E424" s="398"/>
      <c r="F424" s="398"/>
      <c r="G424" s="398"/>
      <c r="H424" s="398"/>
      <c r="I424" s="207" t="s">
        <v>25</v>
      </c>
      <c r="J424" s="212" t="s">
        <v>0</v>
      </c>
      <c r="K424" s="213">
        <v>15</v>
      </c>
      <c r="L424" s="208" t="s">
        <v>20</v>
      </c>
    </row>
    <row r="425" spans="1:12" ht="27" customHeight="1" x14ac:dyDescent="0.2">
      <c r="A425" s="429"/>
      <c r="B425" s="415"/>
      <c r="C425" s="418"/>
      <c r="D425" s="421"/>
      <c r="E425" s="399"/>
      <c r="F425" s="399"/>
      <c r="G425" s="399"/>
      <c r="H425" s="399"/>
      <c r="I425" s="323" t="s">
        <v>66</v>
      </c>
      <c r="J425" s="326" t="s">
        <v>19</v>
      </c>
      <c r="K425" s="327">
        <v>15</v>
      </c>
      <c r="L425" s="314" t="s">
        <v>20</v>
      </c>
    </row>
    <row r="426" spans="1:12" ht="39.950000000000003" customHeight="1" x14ac:dyDescent="0.2">
      <c r="A426" s="333">
        <f>181+1+1+1+13</f>
        <v>197</v>
      </c>
      <c r="B426" s="250" t="s">
        <v>141</v>
      </c>
      <c r="C426" s="320" t="s">
        <v>0</v>
      </c>
      <c r="D426" s="321">
        <v>35</v>
      </c>
      <c r="E426" s="256"/>
      <c r="F426" s="256"/>
      <c r="G426" s="256"/>
      <c r="H426" s="256"/>
      <c r="I426" s="319" t="s">
        <v>25</v>
      </c>
      <c r="J426" s="212" t="s">
        <v>0</v>
      </c>
      <c r="K426" s="213">
        <v>35</v>
      </c>
      <c r="L426" s="320" t="s">
        <v>20</v>
      </c>
    </row>
    <row r="427" spans="1:12" ht="39.950000000000003" customHeight="1" x14ac:dyDescent="0.2">
      <c r="A427" s="428">
        <v>198</v>
      </c>
      <c r="B427" s="425" t="s">
        <v>61</v>
      </c>
      <c r="C427" s="426" t="s">
        <v>19</v>
      </c>
      <c r="D427" s="427">
        <v>3</v>
      </c>
      <c r="E427" s="256"/>
      <c r="F427" s="256"/>
      <c r="G427" s="256"/>
      <c r="H427" s="256"/>
      <c r="I427" s="207" t="s">
        <v>62</v>
      </c>
      <c r="J427" s="212" t="s">
        <v>19</v>
      </c>
      <c r="K427" s="213">
        <v>3</v>
      </c>
      <c r="L427" s="208" t="s">
        <v>20</v>
      </c>
    </row>
    <row r="428" spans="1:12" ht="27" customHeight="1" x14ac:dyDescent="0.2">
      <c r="A428" s="441"/>
      <c r="B428" s="425"/>
      <c r="C428" s="426"/>
      <c r="D428" s="427"/>
      <c r="E428" s="256"/>
      <c r="F428" s="256"/>
      <c r="G428" s="256"/>
      <c r="H428" s="256"/>
      <c r="I428" s="207" t="s">
        <v>63</v>
      </c>
      <c r="J428" s="212" t="s">
        <v>19</v>
      </c>
      <c r="K428" s="213">
        <v>3</v>
      </c>
      <c r="L428" s="208" t="s">
        <v>20</v>
      </c>
    </row>
    <row r="429" spans="1:12" ht="39.950000000000003" customHeight="1" x14ac:dyDescent="0.2">
      <c r="A429" s="275">
        <v>199</v>
      </c>
      <c r="B429" s="207" t="s">
        <v>113</v>
      </c>
      <c r="C429" s="208" t="s">
        <v>19</v>
      </c>
      <c r="D429" s="264">
        <v>210</v>
      </c>
      <c r="E429" s="256"/>
      <c r="F429" s="256"/>
      <c r="G429" s="256"/>
      <c r="H429" s="256"/>
      <c r="I429" s="207"/>
      <c r="J429" s="212"/>
      <c r="K429" s="213"/>
      <c r="L429" s="208"/>
    </row>
    <row r="430" spans="1:12" ht="39.950000000000003" customHeight="1" x14ac:dyDescent="0.2">
      <c r="A430" s="340">
        <v>200</v>
      </c>
      <c r="B430" s="337" t="s">
        <v>153</v>
      </c>
      <c r="C430" s="338" t="s">
        <v>0</v>
      </c>
      <c r="D430" s="339">
        <v>2.5</v>
      </c>
      <c r="E430" s="256"/>
      <c r="F430" s="256"/>
      <c r="G430" s="256"/>
      <c r="H430" s="256"/>
      <c r="I430" s="337" t="s">
        <v>158</v>
      </c>
      <c r="J430" s="212" t="s">
        <v>0</v>
      </c>
      <c r="K430" s="213">
        <v>2.5</v>
      </c>
      <c r="L430" s="338" t="s">
        <v>20</v>
      </c>
    </row>
    <row r="431" spans="1:12" ht="39.950000000000003" customHeight="1" x14ac:dyDescent="0.2">
      <c r="A431" s="428">
        <v>201</v>
      </c>
      <c r="B431" s="445" t="s">
        <v>154</v>
      </c>
      <c r="C431" s="417" t="s">
        <v>0</v>
      </c>
      <c r="D431" s="420">
        <v>6</v>
      </c>
      <c r="E431" s="256"/>
      <c r="F431" s="256"/>
      <c r="G431" s="256"/>
      <c r="H431" s="256"/>
      <c r="I431" s="337" t="s">
        <v>155</v>
      </c>
      <c r="J431" s="212" t="s">
        <v>0</v>
      </c>
      <c r="K431" s="213">
        <v>3</v>
      </c>
      <c r="L431" s="338" t="s">
        <v>20</v>
      </c>
    </row>
    <row r="432" spans="1:12" ht="39.950000000000003" customHeight="1" x14ac:dyDescent="0.2">
      <c r="A432" s="441"/>
      <c r="B432" s="416"/>
      <c r="C432" s="419"/>
      <c r="D432" s="422"/>
      <c r="E432" s="256"/>
      <c r="F432" s="256"/>
      <c r="G432" s="256"/>
      <c r="H432" s="256"/>
      <c r="I432" s="337" t="s">
        <v>156</v>
      </c>
      <c r="J432" s="212" t="s">
        <v>0</v>
      </c>
      <c r="K432" s="213">
        <v>3</v>
      </c>
      <c r="L432" s="338" t="s">
        <v>20</v>
      </c>
    </row>
    <row r="433" spans="1:12" ht="153" customHeight="1" x14ac:dyDescent="0.3">
      <c r="A433" s="275">
        <v>202</v>
      </c>
      <c r="B433" s="207" t="s">
        <v>88</v>
      </c>
      <c r="C433" s="278"/>
      <c r="D433" s="279">
        <v>1</v>
      </c>
      <c r="E433" s="241"/>
      <c r="F433" s="241"/>
      <c r="G433" s="241"/>
      <c r="H433" s="241"/>
      <c r="I433" s="241"/>
      <c r="J433" s="280"/>
      <c r="K433" s="281"/>
      <c r="L433" s="208" t="s">
        <v>20</v>
      </c>
    </row>
    <row r="434" spans="1:12" ht="80.25" customHeight="1" x14ac:dyDescent="0.2">
      <c r="A434" s="275">
        <v>203</v>
      </c>
      <c r="B434" s="207" t="s">
        <v>36</v>
      </c>
      <c r="C434" s="208" t="s">
        <v>19</v>
      </c>
      <c r="D434" s="264">
        <v>99</v>
      </c>
      <c r="E434" s="256"/>
      <c r="F434" s="256"/>
      <c r="G434" s="256"/>
      <c r="H434" s="256"/>
      <c r="I434" s="207"/>
      <c r="J434" s="266"/>
      <c r="K434" s="204"/>
      <c r="L434" s="208" t="s">
        <v>20</v>
      </c>
    </row>
    <row r="435" spans="1:12" ht="39.950000000000003" customHeight="1" x14ac:dyDescent="0.3">
      <c r="A435" s="275">
        <f>186+1+1+1+13</f>
        <v>202</v>
      </c>
      <c r="B435" s="207" t="s">
        <v>10</v>
      </c>
      <c r="C435" s="208" t="s">
        <v>19</v>
      </c>
      <c r="D435" s="209">
        <v>99</v>
      </c>
      <c r="E435" s="210"/>
      <c r="F435" s="210"/>
      <c r="G435" s="210"/>
      <c r="H435" s="210"/>
      <c r="I435" s="282"/>
      <c r="J435" s="283"/>
      <c r="K435" s="284"/>
      <c r="L435" s="208" t="s">
        <v>20</v>
      </c>
    </row>
    <row r="436" spans="1:12" ht="39.950000000000003" customHeight="1" x14ac:dyDescent="0.3">
      <c r="A436" s="275">
        <f>187+1+1+1+13</f>
        <v>203</v>
      </c>
      <c r="B436" s="207" t="s">
        <v>37</v>
      </c>
      <c r="C436" s="208" t="s">
        <v>11</v>
      </c>
      <c r="D436" s="264">
        <v>1</v>
      </c>
      <c r="E436" s="210"/>
      <c r="F436" s="210"/>
      <c r="G436" s="210"/>
      <c r="H436" s="210"/>
      <c r="I436" s="211"/>
      <c r="J436" s="212"/>
      <c r="K436" s="203"/>
      <c r="L436" s="258" t="s">
        <v>20</v>
      </c>
    </row>
    <row r="437" spans="1:12" ht="39.950000000000003" customHeight="1" x14ac:dyDescent="0.3">
      <c r="A437" s="275">
        <f>190+1+13</f>
        <v>204</v>
      </c>
      <c r="B437" s="207" t="s">
        <v>89</v>
      </c>
      <c r="C437" s="278"/>
      <c r="D437" s="279"/>
      <c r="E437" s="241"/>
      <c r="F437" s="241"/>
      <c r="G437" s="241"/>
      <c r="H437" s="241"/>
      <c r="I437" s="241"/>
      <c r="J437" s="280"/>
      <c r="K437" s="281"/>
      <c r="L437" s="258" t="s">
        <v>20</v>
      </c>
    </row>
    <row r="438" spans="1:12" ht="35.1" customHeight="1" x14ac:dyDescent="0.3">
      <c r="A438" s="285"/>
      <c r="B438" s="286"/>
      <c r="C438" s="287"/>
      <c r="D438" s="288"/>
      <c r="E438" s="242"/>
      <c r="F438" s="242"/>
      <c r="G438" s="242"/>
      <c r="H438" s="242"/>
      <c r="I438" s="242"/>
      <c r="J438" s="289"/>
      <c r="K438" s="290"/>
      <c r="L438" s="242"/>
    </row>
    <row r="439" spans="1:12" ht="35.1" customHeight="1" x14ac:dyDescent="0.3">
      <c r="A439" s="285"/>
      <c r="B439" s="286"/>
      <c r="C439" s="287"/>
      <c r="D439" s="288"/>
      <c r="E439" s="242"/>
      <c r="F439" s="242"/>
      <c r="G439" s="242"/>
      <c r="H439" s="242"/>
      <c r="I439" s="242"/>
      <c r="J439" s="289"/>
      <c r="K439" s="290"/>
      <c r="L439" s="242"/>
    </row>
    <row r="440" spans="1:12" ht="35.1" customHeight="1" x14ac:dyDescent="0.3">
      <c r="A440" s="291"/>
      <c r="B440" s="292" t="s">
        <v>38</v>
      </c>
      <c r="C440" s="287"/>
      <c r="D440" s="288"/>
      <c r="E440" s="242"/>
      <c r="F440" s="242"/>
      <c r="G440" s="242"/>
      <c r="H440" s="242"/>
      <c r="I440" s="242"/>
      <c r="J440" s="289"/>
      <c r="K440" s="293"/>
      <c r="L440" s="242"/>
    </row>
    <row r="441" spans="1:12" ht="35.1" customHeight="1" x14ac:dyDescent="0.3">
      <c r="A441" s="184" t="s">
        <v>39</v>
      </c>
      <c r="B441" s="294" t="s">
        <v>40</v>
      </c>
      <c r="C441" s="287"/>
      <c r="D441" s="288"/>
      <c r="E441" s="242"/>
      <c r="F441" s="242"/>
      <c r="G441" s="242"/>
      <c r="H441" s="242"/>
      <c r="I441" s="242"/>
      <c r="J441" s="289"/>
      <c r="K441" s="293"/>
      <c r="L441" s="242"/>
    </row>
    <row r="442" spans="1:12" ht="35.1" customHeight="1" x14ac:dyDescent="0.3">
      <c r="A442" s="184" t="s">
        <v>41</v>
      </c>
      <c r="B442" s="294" t="s">
        <v>42</v>
      </c>
      <c r="C442" s="287"/>
      <c r="D442" s="288"/>
      <c r="E442" s="242"/>
      <c r="F442" s="242"/>
      <c r="G442" s="242"/>
      <c r="H442" s="242"/>
      <c r="I442" s="242"/>
      <c r="J442" s="289"/>
      <c r="K442" s="293"/>
      <c r="L442" s="242"/>
    </row>
    <row r="443" spans="1:12" ht="35.1" customHeight="1" x14ac:dyDescent="0.3">
      <c r="A443" s="291"/>
      <c r="B443" s="286"/>
      <c r="C443" s="287"/>
      <c r="D443" s="288"/>
      <c r="E443" s="242"/>
      <c r="F443" s="242"/>
      <c r="G443" s="242"/>
      <c r="H443" s="242"/>
      <c r="I443" s="242"/>
      <c r="J443" s="289"/>
      <c r="K443" s="295"/>
      <c r="L443" s="242"/>
    </row>
    <row r="444" spans="1:12" ht="35.1" customHeight="1" x14ac:dyDescent="0.3">
      <c r="A444" s="291"/>
      <c r="B444" s="286"/>
      <c r="C444" s="287"/>
      <c r="D444" s="288"/>
      <c r="E444" s="242"/>
      <c r="F444" s="242"/>
      <c r="G444" s="296"/>
      <c r="H444" s="297" t="s">
        <v>43</v>
      </c>
      <c r="I444" s="298"/>
      <c r="J444" s="299" t="s">
        <v>44</v>
      </c>
      <c r="K444" s="300"/>
      <c r="L444" s="296"/>
    </row>
    <row r="445" spans="1:12" ht="35.1" customHeight="1" x14ac:dyDescent="0.3">
      <c r="A445" s="301"/>
      <c r="B445" s="286"/>
      <c r="C445" s="287"/>
      <c r="D445" s="288"/>
      <c r="E445" s="242"/>
      <c r="F445" s="242"/>
      <c r="G445" s="296"/>
      <c r="H445" s="297"/>
      <c r="I445" s="242"/>
      <c r="J445" s="299"/>
      <c r="K445" s="300"/>
      <c r="L445" s="296"/>
    </row>
    <row r="446" spans="1:12" ht="35.1" customHeight="1" x14ac:dyDescent="0.3">
      <c r="A446" s="291"/>
      <c r="B446" s="286"/>
      <c r="C446" s="287"/>
      <c r="D446" s="288"/>
      <c r="E446" s="242"/>
      <c r="F446" s="242"/>
      <c r="G446" s="242"/>
      <c r="H446" s="297" t="s">
        <v>45</v>
      </c>
      <c r="I446" s="298"/>
      <c r="J446" s="299" t="s">
        <v>46</v>
      </c>
      <c r="K446" s="295"/>
      <c r="L446" s="242"/>
    </row>
    <row r="447" spans="1:12" ht="35.1" customHeight="1" x14ac:dyDescent="0.25">
      <c r="A447" s="180"/>
      <c r="B447" s="181"/>
      <c r="C447" s="182"/>
      <c r="D447" s="183"/>
      <c r="E447" s="179"/>
      <c r="F447" s="179"/>
      <c r="G447" s="179"/>
      <c r="H447" s="179"/>
      <c r="I447" s="179"/>
    </row>
    <row r="448" spans="1:12" ht="35.1" customHeight="1" x14ac:dyDescent="0.25"/>
    <row r="449" ht="35.1" customHeight="1" x14ac:dyDescent="0.25"/>
  </sheetData>
  <autoFilter ref="A12:M437"/>
  <mergeCells count="748">
    <mergeCell ref="I1:L1"/>
    <mergeCell ref="B431:B432"/>
    <mergeCell ref="C431:C432"/>
    <mergeCell ref="D431:D432"/>
    <mergeCell ref="A431:A432"/>
    <mergeCell ref="A130:A138"/>
    <mergeCell ref="B130:B138"/>
    <mergeCell ref="C130:C138"/>
    <mergeCell ref="D130:D138"/>
    <mergeCell ref="A32:A34"/>
    <mergeCell ref="B32:B34"/>
    <mergeCell ref="A39:A41"/>
    <mergeCell ref="B39:B41"/>
    <mergeCell ref="C39:C41"/>
    <mergeCell ref="D39:D41"/>
    <mergeCell ref="A42:A43"/>
    <mergeCell ref="B42:B43"/>
    <mergeCell ref="A61:A63"/>
    <mergeCell ref="B61:B63"/>
    <mergeCell ref="C61:C63"/>
    <mergeCell ref="D61:D63"/>
    <mergeCell ref="A72:A73"/>
    <mergeCell ref="B72:B73"/>
    <mergeCell ref="C72:C73"/>
    <mergeCell ref="D72:D73"/>
    <mergeCell ref="A64:A65"/>
    <mergeCell ref="B64:B65"/>
    <mergeCell ref="C64:C65"/>
    <mergeCell ref="D64:D65"/>
    <mergeCell ref="A14:A22"/>
    <mergeCell ref="B14:B22"/>
    <mergeCell ref="C14:C22"/>
    <mergeCell ref="D14:D22"/>
    <mergeCell ref="A30:A31"/>
    <mergeCell ref="B30:B31"/>
    <mergeCell ref="C30:C31"/>
    <mergeCell ref="D30:D31"/>
    <mergeCell ref="C32:C34"/>
    <mergeCell ref="D32:D34"/>
    <mergeCell ref="A7:L7"/>
    <mergeCell ref="A8:L8"/>
    <mergeCell ref="A9:L9"/>
    <mergeCell ref="A11:A12"/>
    <mergeCell ref="B11:B12"/>
    <mergeCell ref="C11:C12"/>
    <mergeCell ref="D11:D12"/>
    <mergeCell ref="E11:H11"/>
    <mergeCell ref="I11:L11"/>
    <mergeCell ref="E32:E34"/>
    <mergeCell ref="F32:F34"/>
    <mergeCell ref="G32:G34"/>
    <mergeCell ref="E42:E43"/>
    <mergeCell ref="F42:F43"/>
    <mergeCell ref="G42:G43"/>
    <mergeCell ref="A25:A27"/>
    <mergeCell ref="B25:B27"/>
    <mergeCell ref="C25:C27"/>
    <mergeCell ref="D25:D27"/>
    <mergeCell ref="E61:E63"/>
    <mergeCell ref="F61:F63"/>
    <mergeCell ref="G61:G63"/>
    <mergeCell ref="G52:G53"/>
    <mergeCell ref="C42:C43"/>
    <mergeCell ref="D42:D43"/>
    <mergeCell ref="A35:A37"/>
    <mergeCell ref="B35:B37"/>
    <mergeCell ref="C35:C37"/>
    <mergeCell ref="D35:D37"/>
    <mergeCell ref="A52:A53"/>
    <mergeCell ref="B52:B53"/>
    <mergeCell ref="E54:E56"/>
    <mergeCell ref="F54:F56"/>
    <mergeCell ref="G54:G56"/>
    <mergeCell ref="A46:A49"/>
    <mergeCell ref="B46:B49"/>
    <mergeCell ref="C46:C49"/>
    <mergeCell ref="D46:D49"/>
    <mergeCell ref="H54:H56"/>
    <mergeCell ref="A57:A59"/>
    <mergeCell ref="B57:B59"/>
    <mergeCell ref="C57:C59"/>
    <mergeCell ref="D57:D59"/>
    <mergeCell ref="A54:A56"/>
    <mergeCell ref="B54:B56"/>
    <mergeCell ref="C54:C56"/>
    <mergeCell ref="D54:D56"/>
    <mergeCell ref="H42:H43"/>
    <mergeCell ref="E46:E49"/>
    <mergeCell ref="F46:F49"/>
    <mergeCell ref="G46:G49"/>
    <mergeCell ref="H46:H49"/>
    <mergeCell ref="C52:C53"/>
    <mergeCell ref="D52:D53"/>
    <mergeCell ref="E52:E53"/>
    <mergeCell ref="F52:F53"/>
    <mergeCell ref="A68:A69"/>
    <mergeCell ref="B68:B69"/>
    <mergeCell ref="C68:C69"/>
    <mergeCell ref="D68:D69"/>
    <mergeCell ref="A81:A83"/>
    <mergeCell ref="B81:B83"/>
    <mergeCell ref="C81:C83"/>
    <mergeCell ref="D81:D83"/>
    <mergeCell ref="A84:A85"/>
    <mergeCell ref="B84:B85"/>
    <mergeCell ref="C84:C85"/>
    <mergeCell ref="D84:D85"/>
    <mergeCell ref="A77:A79"/>
    <mergeCell ref="B77:B79"/>
    <mergeCell ref="C77:C79"/>
    <mergeCell ref="D77:D79"/>
    <mergeCell ref="A74:A76"/>
    <mergeCell ref="B74:B76"/>
    <mergeCell ref="C74:C76"/>
    <mergeCell ref="D74:D76"/>
    <mergeCell ref="A96:A97"/>
    <mergeCell ref="B96:B97"/>
    <mergeCell ref="C96:C97"/>
    <mergeCell ref="D96:D97"/>
    <mergeCell ref="A88:A93"/>
    <mergeCell ref="B88:B93"/>
    <mergeCell ref="C88:C93"/>
    <mergeCell ref="D88:D93"/>
    <mergeCell ref="E88:E93"/>
    <mergeCell ref="A101:A103"/>
    <mergeCell ref="B101:B103"/>
    <mergeCell ref="C101:C103"/>
    <mergeCell ref="D101:D103"/>
    <mergeCell ref="A98:A100"/>
    <mergeCell ref="B98:B100"/>
    <mergeCell ref="C98:C100"/>
    <mergeCell ref="D98:D100"/>
    <mergeCell ref="E98:E100"/>
    <mergeCell ref="A108:A109"/>
    <mergeCell ref="B108:B109"/>
    <mergeCell ref="C108:C109"/>
    <mergeCell ref="D108:D109"/>
    <mergeCell ref="A119:A124"/>
    <mergeCell ref="B119:B124"/>
    <mergeCell ref="C119:C124"/>
    <mergeCell ref="D119:D124"/>
    <mergeCell ref="A104:A106"/>
    <mergeCell ref="B104:B106"/>
    <mergeCell ref="C104:C106"/>
    <mergeCell ref="D104:D106"/>
    <mergeCell ref="A111:A117"/>
    <mergeCell ref="B111:B117"/>
    <mergeCell ref="C111:C117"/>
    <mergeCell ref="D111:D117"/>
    <mergeCell ref="A125:A127"/>
    <mergeCell ref="B125:B127"/>
    <mergeCell ref="C125:C127"/>
    <mergeCell ref="D125:D127"/>
    <mergeCell ref="H149:H151"/>
    <mergeCell ref="G141:G144"/>
    <mergeCell ref="H141:H144"/>
    <mergeCell ref="A147:A148"/>
    <mergeCell ref="B147:B148"/>
    <mergeCell ref="A149:A151"/>
    <mergeCell ref="B149:B151"/>
    <mergeCell ref="C149:C151"/>
    <mergeCell ref="D149:D151"/>
    <mergeCell ref="E149:E151"/>
    <mergeCell ref="F149:F151"/>
    <mergeCell ref="A141:A144"/>
    <mergeCell ref="B141:B144"/>
    <mergeCell ref="C141:C144"/>
    <mergeCell ref="D141:D144"/>
    <mergeCell ref="E141:E144"/>
    <mergeCell ref="F141:F144"/>
    <mergeCell ref="E125:E127"/>
    <mergeCell ref="F125:F127"/>
    <mergeCell ref="G125:G127"/>
    <mergeCell ref="A155:A157"/>
    <mergeCell ref="B155:B157"/>
    <mergeCell ref="C155:C157"/>
    <mergeCell ref="D155:D157"/>
    <mergeCell ref="A159:A160"/>
    <mergeCell ref="B159:B160"/>
    <mergeCell ref="C159:C160"/>
    <mergeCell ref="D159:D160"/>
    <mergeCell ref="G149:G151"/>
    <mergeCell ref="A152:A154"/>
    <mergeCell ref="B152:B154"/>
    <mergeCell ref="C152:C154"/>
    <mergeCell ref="D152:D154"/>
    <mergeCell ref="A168:A169"/>
    <mergeCell ref="B168:B169"/>
    <mergeCell ref="C168:C169"/>
    <mergeCell ref="D168:D169"/>
    <mergeCell ref="A163:A165"/>
    <mergeCell ref="B163:B165"/>
    <mergeCell ref="C163:C165"/>
    <mergeCell ref="D163:D165"/>
    <mergeCell ref="E163:E165"/>
    <mergeCell ref="A177:A178"/>
    <mergeCell ref="B177:B178"/>
    <mergeCell ref="C177:C178"/>
    <mergeCell ref="D177:D178"/>
    <mergeCell ref="G170:G172"/>
    <mergeCell ref="H170:H172"/>
    <mergeCell ref="A173:A175"/>
    <mergeCell ref="B173:B175"/>
    <mergeCell ref="C173:C175"/>
    <mergeCell ref="D173:D175"/>
    <mergeCell ref="A170:A172"/>
    <mergeCell ref="B170:B172"/>
    <mergeCell ref="C170:C172"/>
    <mergeCell ref="D170:D172"/>
    <mergeCell ref="E170:E172"/>
    <mergeCell ref="F170:F172"/>
    <mergeCell ref="E173:E175"/>
    <mergeCell ref="F173:F175"/>
    <mergeCell ref="G173:G175"/>
    <mergeCell ref="H173:H175"/>
    <mergeCell ref="E177:E178"/>
    <mergeCell ref="F177:F178"/>
    <mergeCell ref="G177:G178"/>
    <mergeCell ref="H177:H178"/>
    <mergeCell ref="G181:G182"/>
    <mergeCell ref="H181:H182"/>
    <mergeCell ref="A185:A186"/>
    <mergeCell ref="B185:B186"/>
    <mergeCell ref="C185:C186"/>
    <mergeCell ref="D185:D186"/>
    <mergeCell ref="A181:A182"/>
    <mergeCell ref="B181:B182"/>
    <mergeCell ref="C181:C182"/>
    <mergeCell ref="D181:D182"/>
    <mergeCell ref="E181:E182"/>
    <mergeCell ref="F181:F182"/>
    <mergeCell ref="E185:E186"/>
    <mergeCell ref="F185:F186"/>
    <mergeCell ref="G185:G186"/>
    <mergeCell ref="H185:H186"/>
    <mergeCell ref="A194:A195"/>
    <mergeCell ref="B194:B195"/>
    <mergeCell ref="C194:C195"/>
    <mergeCell ref="D194:D195"/>
    <mergeCell ref="G187:G189"/>
    <mergeCell ref="H187:H189"/>
    <mergeCell ref="A190:A192"/>
    <mergeCell ref="B190:B192"/>
    <mergeCell ref="C190:C192"/>
    <mergeCell ref="D190:D192"/>
    <mergeCell ref="A187:A189"/>
    <mergeCell ref="B187:B189"/>
    <mergeCell ref="C187:C189"/>
    <mergeCell ref="D187:D189"/>
    <mergeCell ref="E187:E189"/>
    <mergeCell ref="F187:F189"/>
    <mergeCell ref="E190:E192"/>
    <mergeCell ref="F190:F192"/>
    <mergeCell ref="G190:G192"/>
    <mergeCell ref="H190:H192"/>
    <mergeCell ref="G198:G201"/>
    <mergeCell ref="H198:H201"/>
    <mergeCell ref="A204:A205"/>
    <mergeCell ref="B204:B205"/>
    <mergeCell ref="C204:C205"/>
    <mergeCell ref="D204:D205"/>
    <mergeCell ref="A198:A201"/>
    <mergeCell ref="B198:B201"/>
    <mergeCell ref="C198:C201"/>
    <mergeCell ref="D198:D201"/>
    <mergeCell ref="E198:E201"/>
    <mergeCell ref="F198:F201"/>
    <mergeCell ref="E204:E205"/>
    <mergeCell ref="F204:F205"/>
    <mergeCell ref="G204:G205"/>
    <mergeCell ref="H204:H205"/>
    <mergeCell ref="A212:A214"/>
    <mergeCell ref="B212:B214"/>
    <mergeCell ref="C212:C214"/>
    <mergeCell ref="D212:D214"/>
    <mergeCell ref="G206:G208"/>
    <mergeCell ref="H206:H208"/>
    <mergeCell ref="A209:A211"/>
    <mergeCell ref="B209:B211"/>
    <mergeCell ref="C209:C211"/>
    <mergeCell ref="D209:D211"/>
    <mergeCell ref="A206:A208"/>
    <mergeCell ref="B206:B208"/>
    <mergeCell ref="C206:C208"/>
    <mergeCell ref="D206:D208"/>
    <mergeCell ref="E206:E208"/>
    <mergeCell ref="F206:F208"/>
    <mergeCell ref="E220:E221"/>
    <mergeCell ref="F220:F221"/>
    <mergeCell ref="G220:G221"/>
    <mergeCell ref="H220:H221"/>
    <mergeCell ref="A224:A225"/>
    <mergeCell ref="B224:B225"/>
    <mergeCell ref="C224:C225"/>
    <mergeCell ref="D224:D225"/>
    <mergeCell ref="A216:A217"/>
    <mergeCell ref="B216:B217"/>
    <mergeCell ref="C216:C217"/>
    <mergeCell ref="D216:D217"/>
    <mergeCell ref="A220:A221"/>
    <mergeCell ref="B220:B221"/>
    <mergeCell ref="C220:C221"/>
    <mergeCell ref="D220:D221"/>
    <mergeCell ref="E224:E225"/>
    <mergeCell ref="F224:F225"/>
    <mergeCell ref="G224:G225"/>
    <mergeCell ref="H224:H225"/>
    <mergeCell ref="A232:A234"/>
    <mergeCell ref="B232:B234"/>
    <mergeCell ref="C232:C234"/>
    <mergeCell ref="D232:D234"/>
    <mergeCell ref="G226:G228"/>
    <mergeCell ref="H226:H228"/>
    <mergeCell ref="A229:A231"/>
    <mergeCell ref="B229:B231"/>
    <mergeCell ref="C229:C231"/>
    <mergeCell ref="D229:D231"/>
    <mergeCell ref="A226:A228"/>
    <mergeCell ref="B226:B228"/>
    <mergeCell ref="C226:C228"/>
    <mergeCell ref="D226:D228"/>
    <mergeCell ref="E226:E228"/>
    <mergeCell ref="F226:F228"/>
    <mergeCell ref="E232:E234"/>
    <mergeCell ref="F232:F234"/>
    <mergeCell ref="G232:G234"/>
    <mergeCell ref="H232:H234"/>
    <mergeCell ref="E240:E242"/>
    <mergeCell ref="F240:F242"/>
    <mergeCell ref="G240:G242"/>
    <mergeCell ref="H240:H242"/>
    <mergeCell ref="A244:A245"/>
    <mergeCell ref="B244:B245"/>
    <mergeCell ref="C244:C245"/>
    <mergeCell ref="D244:D245"/>
    <mergeCell ref="A236:A237"/>
    <mergeCell ref="B236:B237"/>
    <mergeCell ref="C236:C237"/>
    <mergeCell ref="D236:D237"/>
    <mergeCell ref="A240:A242"/>
    <mergeCell ref="B240:B242"/>
    <mergeCell ref="C240:C242"/>
    <mergeCell ref="D240:D242"/>
    <mergeCell ref="E244:E245"/>
    <mergeCell ref="F244:F245"/>
    <mergeCell ref="G244:G245"/>
    <mergeCell ref="H244:H245"/>
    <mergeCell ref="A253:A254"/>
    <mergeCell ref="B253:B254"/>
    <mergeCell ref="C253:C254"/>
    <mergeCell ref="D253:D254"/>
    <mergeCell ref="G246:G248"/>
    <mergeCell ref="H246:H248"/>
    <mergeCell ref="A249:A251"/>
    <mergeCell ref="B249:B251"/>
    <mergeCell ref="C249:C251"/>
    <mergeCell ref="D249:D251"/>
    <mergeCell ref="A246:A248"/>
    <mergeCell ref="B246:B248"/>
    <mergeCell ref="C246:C248"/>
    <mergeCell ref="D246:D248"/>
    <mergeCell ref="E246:E248"/>
    <mergeCell ref="F246:F248"/>
    <mergeCell ref="E249:E251"/>
    <mergeCell ref="F249:F251"/>
    <mergeCell ref="G249:G251"/>
    <mergeCell ref="H249:H251"/>
    <mergeCell ref="G257:G260"/>
    <mergeCell ref="H257:H260"/>
    <mergeCell ref="A263:A264"/>
    <mergeCell ref="B263:B264"/>
    <mergeCell ref="C263:C264"/>
    <mergeCell ref="D263:D264"/>
    <mergeCell ref="A257:A260"/>
    <mergeCell ref="B257:B260"/>
    <mergeCell ref="C257:C260"/>
    <mergeCell ref="D257:D260"/>
    <mergeCell ref="E257:E260"/>
    <mergeCell ref="F257:F260"/>
    <mergeCell ref="E263:E264"/>
    <mergeCell ref="F263:F264"/>
    <mergeCell ref="G263:G264"/>
    <mergeCell ref="H263:H264"/>
    <mergeCell ref="A271:A273"/>
    <mergeCell ref="B271:B273"/>
    <mergeCell ref="C271:C273"/>
    <mergeCell ref="D271:D273"/>
    <mergeCell ref="G265:G267"/>
    <mergeCell ref="H265:H267"/>
    <mergeCell ref="A268:A270"/>
    <mergeCell ref="B268:B270"/>
    <mergeCell ref="C268:C270"/>
    <mergeCell ref="D268:D270"/>
    <mergeCell ref="A265:A267"/>
    <mergeCell ref="B265:B267"/>
    <mergeCell ref="C265:C267"/>
    <mergeCell ref="D265:D267"/>
    <mergeCell ref="E265:E267"/>
    <mergeCell ref="F265:F267"/>
    <mergeCell ref="E271:E273"/>
    <mergeCell ref="F271:F273"/>
    <mergeCell ref="G271:G273"/>
    <mergeCell ref="H271:H273"/>
    <mergeCell ref="E279:E282"/>
    <mergeCell ref="F279:F282"/>
    <mergeCell ref="G279:G282"/>
    <mergeCell ref="H279:H282"/>
    <mergeCell ref="A285:A286"/>
    <mergeCell ref="B285:B286"/>
    <mergeCell ref="C285:C286"/>
    <mergeCell ref="D285:D286"/>
    <mergeCell ref="A275:A276"/>
    <mergeCell ref="B275:B276"/>
    <mergeCell ref="C275:C276"/>
    <mergeCell ref="D275:D276"/>
    <mergeCell ref="A279:A282"/>
    <mergeCell ref="B279:B282"/>
    <mergeCell ref="C279:C282"/>
    <mergeCell ref="D279:D282"/>
    <mergeCell ref="E285:E286"/>
    <mergeCell ref="F285:F286"/>
    <mergeCell ref="G285:G286"/>
    <mergeCell ref="H285:H286"/>
    <mergeCell ref="A293:A295"/>
    <mergeCell ref="B293:B295"/>
    <mergeCell ref="C293:C295"/>
    <mergeCell ref="D293:D295"/>
    <mergeCell ref="G287:G289"/>
    <mergeCell ref="H287:H289"/>
    <mergeCell ref="A290:A292"/>
    <mergeCell ref="B290:B292"/>
    <mergeCell ref="C290:C292"/>
    <mergeCell ref="D290:D292"/>
    <mergeCell ref="A287:A289"/>
    <mergeCell ref="B287:B289"/>
    <mergeCell ref="C287:C289"/>
    <mergeCell ref="D287:D289"/>
    <mergeCell ref="E287:E289"/>
    <mergeCell ref="F287:F289"/>
    <mergeCell ref="E293:E295"/>
    <mergeCell ref="F293:F295"/>
    <mergeCell ref="G293:G295"/>
    <mergeCell ref="H293:H295"/>
    <mergeCell ref="E301:E304"/>
    <mergeCell ref="F301:F304"/>
    <mergeCell ref="G301:G304"/>
    <mergeCell ref="H301:H304"/>
    <mergeCell ref="A307:A308"/>
    <mergeCell ref="B307:B308"/>
    <mergeCell ref="C307:C308"/>
    <mergeCell ref="D307:D308"/>
    <mergeCell ref="A297:A298"/>
    <mergeCell ref="B297:B298"/>
    <mergeCell ref="C297:C298"/>
    <mergeCell ref="D297:D298"/>
    <mergeCell ref="A301:A304"/>
    <mergeCell ref="B301:B304"/>
    <mergeCell ref="C301:C304"/>
    <mergeCell ref="D301:D304"/>
    <mergeCell ref="E307:E308"/>
    <mergeCell ref="F307:F308"/>
    <mergeCell ref="G307:G308"/>
    <mergeCell ref="H307:H308"/>
    <mergeCell ref="G309:G311"/>
    <mergeCell ref="H309:H311"/>
    <mergeCell ref="A312:A314"/>
    <mergeCell ref="B312:B314"/>
    <mergeCell ref="C312:C314"/>
    <mergeCell ref="D312:D314"/>
    <mergeCell ref="A309:A311"/>
    <mergeCell ref="B309:B311"/>
    <mergeCell ref="C309:C311"/>
    <mergeCell ref="D309:D311"/>
    <mergeCell ref="E309:E311"/>
    <mergeCell ref="F309:F311"/>
    <mergeCell ref="E320:E324"/>
    <mergeCell ref="F320:F324"/>
    <mergeCell ref="G320:G324"/>
    <mergeCell ref="H320:H324"/>
    <mergeCell ref="A327:A328"/>
    <mergeCell ref="B327:B328"/>
    <mergeCell ref="C327:C328"/>
    <mergeCell ref="D327:D328"/>
    <mergeCell ref="A316:A317"/>
    <mergeCell ref="B316:B317"/>
    <mergeCell ref="C316:C317"/>
    <mergeCell ref="D316:D317"/>
    <mergeCell ref="A320:A324"/>
    <mergeCell ref="B320:B324"/>
    <mergeCell ref="C320:C324"/>
    <mergeCell ref="D320:D324"/>
    <mergeCell ref="E327:E328"/>
    <mergeCell ref="F327:F328"/>
    <mergeCell ref="G327:G328"/>
    <mergeCell ref="H327:H328"/>
    <mergeCell ref="A335:A337"/>
    <mergeCell ref="B335:B337"/>
    <mergeCell ref="C335:C337"/>
    <mergeCell ref="D335:D337"/>
    <mergeCell ref="G329:G331"/>
    <mergeCell ref="H329:H331"/>
    <mergeCell ref="A332:A334"/>
    <mergeCell ref="B332:B334"/>
    <mergeCell ref="C332:C334"/>
    <mergeCell ref="D332:D334"/>
    <mergeCell ref="A329:A331"/>
    <mergeCell ref="B329:B331"/>
    <mergeCell ref="C329:C331"/>
    <mergeCell ref="D329:D331"/>
    <mergeCell ref="E329:E331"/>
    <mergeCell ref="F329:F331"/>
    <mergeCell ref="E335:E337"/>
    <mergeCell ref="F335:F337"/>
    <mergeCell ref="G335:G337"/>
    <mergeCell ref="H335:H337"/>
    <mergeCell ref="G343:G346"/>
    <mergeCell ref="H343:H346"/>
    <mergeCell ref="A349:A350"/>
    <mergeCell ref="B349:B350"/>
    <mergeCell ref="C349:C350"/>
    <mergeCell ref="D349:D350"/>
    <mergeCell ref="A339:A340"/>
    <mergeCell ref="B339:B340"/>
    <mergeCell ref="C339:C340"/>
    <mergeCell ref="D339:D340"/>
    <mergeCell ref="A343:A346"/>
    <mergeCell ref="B343:B346"/>
    <mergeCell ref="C343:C346"/>
    <mergeCell ref="D343:D346"/>
    <mergeCell ref="E343:E346"/>
    <mergeCell ref="F343:F346"/>
    <mergeCell ref="E349:E350"/>
    <mergeCell ref="F349:F350"/>
    <mergeCell ref="G349:G350"/>
    <mergeCell ref="H349:H350"/>
    <mergeCell ref="G351:G353"/>
    <mergeCell ref="H351:H353"/>
    <mergeCell ref="A354:A356"/>
    <mergeCell ref="B354:B356"/>
    <mergeCell ref="C354:C356"/>
    <mergeCell ref="D354:D356"/>
    <mergeCell ref="A351:A353"/>
    <mergeCell ref="B351:B353"/>
    <mergeCell ref="C351:C353"/>
    <mergeCell ref="D351:D353"/>
    <mergeCell ref="E351:E353"/>
    <mergeCell ref="F351:F353"/>
    <mergeCell ref="G365:G369"/>
    <mergeCell ref="H365:H369"/>
    <mergeCell ref="A372:A373"/>
    <mergeCell ref="B372:B373"/>
    <mergeCell ref="C372:C373"/>
    <mergeCell ref="D372:D373"/>
    <mergeCell ref="A361:A362"/>
    <mergeCell ref="B361:B362"/>
    <mergeCell ref="C361:C362"/>
    <mergeCell ref="D361:D362"/>
    <mergeCell ref="A365:A369"/>
    <mergeCell ref="B365:B369"/>
    <mergeCell ref="C365:C369"/>
    <mergeCell ref="D365:D369"/>
    <mergeCell ref="G372:G373"/>
    <mergeCell ref="H372:H373"/>
    <mergeCell ref="E365:E369"/>
    <mergeCell ref="F365:F369"/>
    <mergeCell ref="H374:H376"/>
    <mergeCell ref="A377:A379"/>
    <mergeCell ref="B377:B379"/>
    <mergeCell ref="C377:C379"/>
    <mergeCell ref="D377:D379"/>
    <mergeCell ref="A374:A376"/>
    <mergeCell ref="B374:B376"/>
    <mergeCell ref="C374:C376"/>
    <mergeCell ref="D374:D376"/>
    <mergeCell ref="E374:E376"/>
    <mergeCell ref="F374:F376"/>
    <mergeCell ref="A384:A385"/>
    <mergeCell ref="B384:B385"/>
    <mergeCell ref="C384:C385"/>
    <mergeCell ref="D384:D385"/>
    <mergeCell ref="A388:A392"/>
    <mergeCell ref="B388:B392"/>
    <mergeCell ref="C388:C392"/>
    <mergeCell ref="D388:D392"/>
    <mergeCell ref="G374:G376"/>
    <mergeCell ref="A380:A382"/>
    <mergeCell ref="B380:B382"/>
    <mergeCell ref="C380:C382"/>
    <mergeCell ref="D380:D382"/>
    <mergeCell ref="G380:G382"/>
    <mergeCell ref="A397:A399"/>
    <mergeCell ref="B397:B399"/>
    <mergeCell ref="C397:C399"/>
    <mergeCell ref="D397:D399"/>
    <mergeCell ref="E397:E399"/>
    <mergeCell ref="F397:F399"/>
    <mergeCell ref="H388:H392"/>
    <mergeCell ref="A395:A396"/>
    <mergeCell ref="B395:B396"/>
    <mergeCell ref="C395:C396"/>
    <mergeCell ref="D395:D396"/>
    <mergeCell ref="H412:H413"/>
    <mergeCell ref="A415:A416"/>
    <mergeCell ref="B415:B416"/>
    <mergeCell ref="C415:C416"/>
    <mergeCell ref="D415:D416"/>
    <mergeCell ref="A407:A408"/>
    <mergeCell ref="B407:B408"/>
    <mergeCell ref="C407:C408"/>
    <mergeCell ref="D407:D408"/>
    <mergeCell ref="A412:A413"/>
    <mergeCell ref="B412:B413"/>
    <mergeCell ref="C412:C413"/>
    <mergeCell ref="D412:D413"/>
    <mergeCell ref="G412:G413"/>
    <mergeCell ref="H415:H416"/>
    <mergeCell ref="A427:A428"/>
    <mergeCell ref="B427:B428"/>
    <mergeCell ref="C427:C428"/>
    <mergeCell ref="D427:D428"/>
    <mergeCell ref="G417:G419"/>
    <mergeCell ref="H417:H419"/>
    <mergeCell ref="A420:A422"/>
    <mergeCell ref="B420:B422"/>
    <mergeCell ref="C420:C422"/>
    <mergeCell ref="D420:D422"/>
    <mergeCell ref="A417:A419"/>
    <mergeCell ref="B417:B419"/>
    <mergeCell ref="C417:C419"/>
    <mergeCell ref="D417:D419"/>
    <mergeCell ref="E417:E419"/>
    <mergeCell ref="F417:F419"/>
    <mergeCell ref="H423:H425"/>
    <mergeCell ref="A403:A405"/>
    <mergeCell ref="B403:B405"/>
    <mergeCell ref="C403:C405"/>
    <mergeCell ref="D403:D405"/>
    <mergeCell ref="G397:G399"/>
    <mergeCell ref="E388:E392"/>
    <mergeCell ref="F388:F392"/>
    <mergeCell ref="G388:G392"/>
    <mergeCell ref="A423:A425"/>
    <mergeCell ref="B423:B425"/>
    <mergeCell ref="C423:C425"/>
    <mergeCell ref="D423:D425"/>
    <mergeCell ref="E412:E413"/>
    <mergeCell ref="F412:F413"/>
    <mergeCell ref="E415:E416"/>
    <mergeCell ref="F415:F416"/>
    <mergeCell ref="G415:G416"/>
    <mergeCell ref="E423:E425"/>
    <mergeCell ref="F423:F425"/>
    <mergeCell ref="G423:G425"/>
    <mergeCell ref="A400:A402"/>
    <mergeCell ref="B400:B402"/>
    <mergeCell ref="C400:C402"/>
    <mergeCell ref="D400:D402"/>
    <mergeCell ref="A357:A359"/>
    <mergeCell ref="B357:B359"/>
    <mergeCell ref="C357:C359"/>
    <mergeCell ref="D357:D359"/>
    <mergeCell ref="E372:E373"/>
    <mergeCell ref="F372:F373"/>
    <mergeCell ref="E380:E382"/>
    <mergeCell ref="F380:F382"/>
    <mergeCell ref="H32:H34"/>
    <mergeCell ref="E35:E37"/>
    <mergeCell ref="F35:F37"/>
    <mergeCell ref="G35:G37"/>
    <mergeCell ref="H35:H37"/>
    <mergeCell ref="E39:E41"/>
    <mergeCell ref="F39:F41"/>
    <mergeCell ref="G39:G41"/>
    <mergeCell ref="H39:H41"/>
    <mergeCell ref="H52:H53"/>
    <mergeCell ref="H61:H63"/>
    <mergeCell ref="E72:E73"/>
    <mergeCell ref="F72:F73"/>
    <mergeCell ref="G72:G73"/>
    <mergeCell ref="H72:H73"/>
    <mergeCell ref="E81:E83"/>
    <mergeCell ref="H81:H83"/>
    <mergeCell ref="H74:H76"/>
    <mergeCell ref="E68:E69"/>
    <mergeCell ref="F68:F69"/>
    <mergeCell ref="G68:G69"/>
    <mergeCell ref="H68:H69"/>
    <mergeCell ref="E64:E65"/>
    <mergeCell ref="F64:F65"/>
    <mergeCell ref="G64:G65"/>
    <mergeCell ref="H64:H65"/>
    <mergeCell ref="G74:G76"/>
    <mergeCell ref="F74:F76"/>
    <mergeCell ref="F81:F83"/>
    <mergeCell ref="G81:G83"/>
    <mergeCell ref="E74:E76"/>
    <mergeCell ref="H84:H85"/>
    <mergeCell ref="E96:E97"/>
    <mergeCell ref="F96:F97"/>
    <mergeCell ref="G96:G97"/>
    <mergeCell ref="H96:H97"/>
    <mergeCell ref="E104:E106"/>
    <mergeCell ref="F104:F106"/>
    <mergeCell ref="G104:G106"/>
    <mergeCell ref="H104:H106"/>
    <mergeCell ref="G98:G100"/>
    <mergeCell ref="H98:H100"/>
    <mergeCell ref="F98:F100"/>
    <mergeCell ref="G88:G93"/>
    <mergeCell ref="H88:H93"/>
    <mergeCell ref="F88:F93"/>
    <mergeCell ref="E84:E85"/>
    <mergeCell ref="F84:F85"/>
    <mergeCell ref="G84:G85"/>
    <mergeCell ref="E108:E109"/>
    <mergeCell ref="F108:F109"/>
    <mergeCell ref="G108:G109"/>
    <mergeCell ref="H108:H109"/>
    <mergeCell ref="E111:E117"/>
    <mergeCell ref="F111:F117"/>
    <mergeCell ref="G111:G117"/>
    <mergeCell ref="H111:H117"/>
    <mergeCell ref="E119:E124"/>
    <mergeCell ref="F119:F124"/>
    <mergeCell ref="G119:G124"/>
    <mergeCell ref="H119:H124"/>
    <mergeCell ref="H125:H127"/>
    <mergeCell ref="E155:E157"/>
    <mergeCell ref="F155:F157"/>
    <mergeCell ref="G155:G157"/>
    <mergeCell ref="H155:H157"/>
    <mergeCell ref="E168:E169"/>
    <mergeCell ref="F168:F169"/>
    <mergeCell ref="G168:G169"/>
    <mergeCell ref="H168:H169"/>
    <mergeCell ref="G163:G165"/>
    <mergeCell ref="H163:H165"/>
    <mergeCell ref="F163:F165"/>
    <mergeCell ref="H380:H382"/>
    <mergeCell ref="E395:E396"/>
    <mergeCell ref="F395:F396"/>
    <mergeCell ref="G395:G396"/>
    <mergeCell ref="H395:H396"/>
    <mergeCell ref="E403:E405"/>
    <mergeCell ref="F403:F405"/>
    <mergeCell ref="G403:G405"/>
    <mergeCell ref="H403:H405"/>
    <mergeCell ref="H397:H399"/>
  </mergeCells>
  <conditionalFormatting sqref="N88:XFD88">
    <cfRule type="expression" dxfId="0" priority="191">
      <formula>1</formula>
    </cfRule>
  </conditionalFormatting>
  <hyperlinks>
    <hyperlink ref="M117" r:id="rId1" display="https://www.dssl.ru/products/at-id02-em-karta-dostupa/?utm_source=dssl-yd&amp;utm_medium=cpc&amp;utm_campaign=dssl_yd_rf_performance&amp;utm_term=_52409160941&amp;utm_content=astat:52409160941|ret:52409160941|dsa:52409160941|cid:112515165|gid:5467218881|aid:1846167210872455611|pt:premium|pos:1|st:search|src:none|dvc:desktop|reg:976|adp:no|apt:none|link:main&amp;roistat=direct3_search_1846167210872455611_---autotargeting&amp;roistat_referrer=none&amp;roistat_pos=premium_1&amp;etext=2202.7W334tor5mEM2OrVkrQFdiw5_CD_Yr5Hdx7aD2zAws07uHSBrfHAvxZ0Un0sarcVKuhtTFV-sSAjZXcJWcnagmt1ZnF6bXRtdm51eGpja3c.6c7bc0bc2d2b6de26109e5ba20e06f7a9a434028&amp;yclid=13547732754466340863"/>
  </hyperlinks>
  <printOptions horizontalCentered="1"/>
  <pageMargins left="0.23622047244094491" right="0.23622047244094491" top="0.55118110236220474" bottom="0.35433070866141736" header="0.31496062992125984" footer="0.31496062992125984"/>
  <pageSetup paperSize="9" scale="44" fitToHeight="0" orientation="landscape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4"/>
  <sheetViews>
    <sheetView workbookViewId="0">
      <selection activeCell="C2" sqref="C2:C4"/>
    </sheetView>
  </sheetViews>
  <sheetFormatPr defaultRowHeight="15" x14ac:dyDescent="0.25"/>
  <cols>
    <col min="3" max="3" width="87.7109375" customWidth="1"/>
  </cols>
  <sheetData>
    <row r="2" spans="3:3" ht="28.5" x14ac:dyDescent="0.25">
      <c r="C2" s="175" t="s">
        <v>124</v>
      </c>
    </row>
    <row r="3" spans="3:3" x14ac:dyDescent="0.25">
      <c r="C3" s="176" t="s">
        <v>125</v>
      </c>
    </row>
    <row r="4" spans="3:3" x14ac:dyDescent="0.25">
      <c r="C4" s="176" t="s">
        <v>126</v>
      </c>
    </row>
  </sheetData>
  <hyperlinks>
    <hyperlink ref="C3" r:id="rId1" display="https://ksr.ru/catalog/Datarex/DR-5301/"/>
    <hyperlink ref="C4" r:id="rId2" display="https://ksr.ru/catalog/Datarex/DR-5303/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Ведомость</vt:lpstr>
      <vt:lpstr>Ведомость (2)</vt:lpstr>
      <vt:lpstr>Лист1</vt:lpstr>
      <vt:lpstr>Ведомость!Заголовки_для_печати</vt:lpstr>
      <vt:lpstr>'Ведомость (2)'!Заголовки_для_печати</vt:lpstr>
      <vt:lpstr>'Ведомость (2)'!Область_печати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Ижбулдин Константин Айгузинович</dc:creator>
  <cp:lastModifiedBy>Пользователь Windows</cp:lastModifiedBy>
  <cp:lastPrinted>2025-05-22T00:51:10Z</cp:lastPrinted>
  <dcterms:created xsi:type="dcterms:W3CDTF">2011-05-31T03:19:39Z</dcterms:created>
  <dcterms:modified xsi:type="dcterms:W3CDTF">2025-05-23T02:33:23Z</dcterms:modified>
</cp:coreProperties>
</file>